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ACE84995-974B-4624-9E39-DC4FD93E9019}" xr6:coauthVersionLast="47" xr6:coauthVersionMax="47" xr10:uidLastSave="{00000000-0000-0000-0000-000000000000}"/>
  <bookViews>
    <workbookView xWindow="-120" yWindow="-120" windowWidth="29040" windowHeight="15720" firstSheet="1" activeTab="1" xr2:uid="{ABCD4981-C01B-4B1F-9495-BB9C21AF22DD}"/>
  </bookViews>
  <sheets>
    <sheet name="Forest FES-Wave" sheetId="1" state="hidden" r:id="rId1"/>
    <sheet name="Forest FES-Wave Mobile" sheetId="2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Q103" i="1" s="1"/>
  <c r="H103" i="1" s="1"/>
  <c r="G10" i="2"/>
  <c r="BA78" i="1"/>
  <c r="BC94" i="1" s="1"/>
  <c r="BC78" i="1"/>
  <c r="BC95" i="1" s="1"/>
  <c r="BE78" i="1"/>
  <c r="BC96" i="1" s="1"/>
  <c r="J13" i="1"/>
  <c r="Q114" i="1" l="1"/>
  <c r="L13" i="1"/>
  <c r="N79" i="2"/>
  <c r="Q112" i="1"/>
  <c r="BI94" i="1" a="1"/>
  <c r="BI94" i="1" s="1"/>
  <c r="BM93" i="1" l="1"/>
  <c r="Q79" i="2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BJ105" i="1" l="1"/>
  <c r="L132" i="1" s="1"/>
  <c r="A24" i="1"/>
  <c r="A21" i="2"/>
  <c r="A20" i="2"/>
  <c r="H76" i="1"/>
  <c r="A23" i="1"/>
  <c r="H119" i="1"/>
  <c r="H121" i="1"/>
  <c r="H84" i="2"/>
  <c r="H117" i="1"/>
  <c r="H120" i="1"/>
  <c r="N83" i="2"/>
  <c r="AO67" i="1"/>
  <c r="AK78" i="1"/>
  <c r="N81" i="2"/>
  <c r="H81" i="2" s="1"/>
  <c r="G16" i="2" s="1"/>
  <c r="AO66" i="1"/>
  <c r="J127" i="1"/>
  <c r="Q116" i="1"/>
  <c r="H114" i="1"/>
  <c r="G57" i="1"/>
  <c r="O63" i="1"/>
  <c r="AK79" i="1"/>
  <c r="BR81" i="1"/>
  <c r="BV64" i="1"/>
  <c r="BV81" i="1"/>
  <c r="BP64" i="1"/>
  <c r="BT81" i="1"/>
  <c r="BP81" i="1"/>
  <c r="BT64" i="1"/>
  <c r="BR64" i="1"/>
  <c r="I90" i="2" l="1"/>
  <c r="BC105" i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BR87" i="1" s="1"/>
  <c r="BR90" i="1" s="1"/>
  <c r="H68" i="2"/>
  <c r="L10" i="2" s="1"/>
  <c r="J15" i="1"/>
  <c r="L15" i="1"/>
  <c r="H101" i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<sst xmlns="http://schemas.openxmlformats.org/spreadsheetml/2006/main" count="586" uniqueCount="382">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</sst>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26" xfId="0" applyFont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right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56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1" fillId="0" borderId="63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 vertical="top" wrapText="1"/>
    </xf>
    <xf numFmtId="0" fontId="5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left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7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7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522" t="str">
        <f ca="1">IF(A2="",EX117,EW117)</f>
        <v>Language:</v>
      </c>
      <c r="B1" s="522"/>
      <c r="C1" s="522"/>
      <c r="D1" s="522"/>
      <c r="E1" s="363" t="str">
        <f>IF(A2="","!","")</f>
        <v/>
      </c>
      <c r="W1" s="516" t="str">
        <f ca="1">IF(H101&gt;0,"",IF(BV65&lt;&gt;0,EW146,""))</f>
        <v/>
      </c>
      <c r="X1" s="516"/>
      <c r="Y1" s="516"/>
      <c r="Z1" s="516"/>
      <c r="AA1" s="516"/>
      <c r="AB1" s="516"/>
      <c r="AC1" s="516"/>
      <c r="AD1" s="516"/>
      <c r="AE1" s="516"/>
      <c r="AF1" s="516"/>
    </row>
    <row r="2" spans="1:35" s="47" customFormat="1" x14ac:dyDescent="0.25">
      <c r="A2" s="585" t="s">
        <v>88</v>
      </c>
      <c r="B2" s="585"/>
      <c r="C2" s="585"/>
      <c r="D2" s="585"/>
      <c r="E2" s="363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542" t="str">
        <f ca="1">IF($AD$3="","",EW94)</f>
        <v>Number of hooks</v>
      </c>
      <c r="X3" s="543"/>
      <c r="Y3" s="543"/>
      <c r="Z3" s="543"/>
      <c r="AA3" s="522" t="str">
        <f ca="1">IF(AD3="","",IF(E19=AW105,"",IF(J57=1,AR105,IF(J57=2,AR107,IF(J57=3,AR109,"")))))</f>
        <v/>
      </c>
      <c r="AB3" s="522"/>
      <c r="AC3" s="522"/>
      <c r="AD3" s="522">
        <f ca="1">IF($H$101=0,BP74,"")</f>
        <v>16</v>
      </c>
      <c r="AE3" s="522"/>
      <c r="AF3" s="122"/>
      <c r="AG3" s="123"/>
    </row>
    <row r="4" spans="1:35" s="47" customFormat="1" ht="15" customHeight="1" x14ac:dyDescent="0.25">
      <c r="F4" s="124"/>
      <c r="W4" s="523" t="str">
        <f ca="1">IF($AD$3="","",EW95)</f>
        <v xml:space="preserve"> in curtain needed</v>
      </c>
      <c r="X4" s="522"/>
      <c r="Y4" s="522"/>
      <c r="Z4" s="522"/>
      <c r="AA4" s="522" t="str">
        <f ca="1">IF(H101=1,"",IF(E19=AW105,"",IF(J57=0,"",IF(J57=1,AR106,IF(J57=2,AR108,IF(J57=3,AR110,""))))))</f>
        <v/>
      </c>
      <c r="AB4" s="522"/>
      <c r="AC4" s="522"/>
      <c r="AD4" s="522" t="str">
        <f ca="1">IF($E$19=AW106,IF(AD3="","",BR74),"")</f>
        <v/>
      </c>
      <c r="AE4" s="522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20" t="s">
        <v>5</v>
      </c>
      <c r="J6" s="520"/>
      <c r="K6" s="520"/>
      <c r="L6" s="520"/>
      <c r="M6" s="520"/>
      <c r="N6" s="520"/>
      <c r="O6" s="520"/>
      <c r="P6" s="520"/>
      <c r="Q6" s="520"/>
      <c r="R6" s="520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20"/>
      <c r="J7" s="520"/>
      <c r="K7" s="520"/>
      <c r="L7" s="520"/>
      <c r="M7" s="520"/>
      <c r="N7" s="520"/>
      <c r="O7" s="520"/>
      <c r="P7" s="520"/>
      <c r="Q7" s="520"/>
      <c r="R7" s="520"/>
      <c r="W7" s="523" t="str">
        <f ca="1">IF($AD$3="","",EW96)</f>
        <v>Number of</v>
      </c>
      <c r="X7" s="522"/>
      <c r="Y7" s="522"/>
      <c r="Z7" s="522"/>
      <c r="AA7" s="522" t="str">
        <f ca="1">IF(AA3 ="","",AA3)</f>
        <v/>
      </c>
      <c r="AB7" s="522"/>
      <c r="AC7" s="522"/>
      <c r="AD7" s="522">
        <f ca="1">IF(AD3="","",BP72)</f>
        <v>14</v>
      </c>
      <c r="AE7" s="522"/>
      <c r="AF7" s="122"/>
      <c r="AG7" s="129"/>
      <c r="AH7" s="48"/>
    </row>
    <row r="8" spans="1:35" s="47" customFormat="1" ht="15" customHeight="1" x14ac:dyDescent="0.25">
      <c r="I8" s="520"/>
      <c r="J8" s="520"/>
      <c r="K8" s="520"/>
      <c r="L8" s="520"/>
      <c r="M8" s="520"/>
      <c r="N8" s="520"/>
      <c r="O8" s="520"/>
      <c r="P8" s="520"/>
      <c r="Q8" s="520"/>
      <c r="R8" s="520"/>
      <c r="W8" s="523" t="str">
        <f ca="1">IF($AD$3="","",EW97)</f>
        <v>carriers needed**</v>
      </c>
      <c r="X8" s="522"/>
      <c r="Y8" s="522"/>
      <c r="Z8" s="522"/>
      <c r="AA8" s="522" t="str">
        <f ca="1">IF(AA4 ="","",AA4)</f>
        <v/>
      </c>
      <c r="AB8" s="522"/>
      <c r="AC8" s="522"/>
      <c r="AD8" s="522" t="str">
        <f ca="1">IF($E$19=AW106,IF(AD3="","",BR72),"")</f>
        <v/>
      </c>
      <c r="AE8" s="522"/>
      <c r="AF8" s="122"/>
      <c r="AG8" s="129"/>
      <c r="AH8" s="48"/>
    </row>
    <row r="9" spans="1:35" s="47" customFormat="1" ht="15" customHeight="1" x14ac:dyDescent="0.25">
      <c r="I9" s="520"/>
      <c r="J9" s="520"/>
      <c r="K9" s="520"/>
      <c r="L9" s="520"/>
      <c r="M9" s="520"/>
      <c r="N9" s="520"/>
      <c r="O9" s="520"/>
      <c r="P9" s="520"/>
      <c r="Q9" s="520"/>
      <c r="R9" s="520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568" t="s">
        <v>381</v>
      </c>
      <c r="B10" s="568"/>
      <c r="W10" s="123"/>
      <c r="AA10" s="115"/>
      <c r="AB10" s="115"/>
      <c r="AC10" s="115"/>
      <c r="AF10" s="122"/>
    </row>
    <row r="11" spans="1:35" s="47" customFormat="1" ht="15" customHeight="1" x14ac:dyDescent="0.25">
      <c r="A11" s="569" t="str">
        <f ca="1">EW68</f>
        <v xml:space="preserve">Track type       = </v>
      </c>
      <c r="B11" s="570"/>
      <c r="C11" s="570"/>
      <c r="D11" s="571"/>
      <c r="E11" s="578" t="s">
        <v>34</v>
      </c>
      <c r="F11" s="579"/>
      <c r="G11" s="579"/>
      <c r="H11" s="579"/>
      <c r="I11" s="580"/>
      <c r="J11" s="363" t="str">
        <f ca="1">IF(A2="","",IF(H102+H103&gt;=1,"!",""))</f>
        <v/>
      </c>
      <c r="K11" s="363"/>
      <c r="L11" s="525" t="str">
        <f ca="1">IF(E11="",EW87,IF(H103=1,EW93,""))</f>
        <v/>
      </c>
      <c r="M11" s="525"/>
      <c r="N11" s="525"/>
      <c r="O11" s="525"/>
      <c r="P11" s="525"/>
      <c r="Q11" s="525"/>
      <c r="R11" s="525"/>
      <c r="S11" s="525"/>
      <c r="T11" s="525"/>
      <c r="U11" s="525"/>
      <c r="V11" s="526"/>
      <c r="W11" s="523" t="str">
        <f ca="1">IF($AD$3="","",EW98)</f>
        <v>Curtain stacking</v>
      </c>
      <c r="X11" s="522"/>
      <c r="Y11" s="522"/>
      <c r="Z11" s="522"/>
      <c r="AA11" s="522" t="str">
        <f ca="1">IF(AA3="","",AA3)</f>
        <v/>
      </c>
      <c r="AB11" s="522"/>
      <c r="AC11" s="522"/>
      <c r="AD11" s="521">
        <f ca="1">IF(AD3="","",IF(AK105=AW107,BP92,ROUNDUP(BP92/AH104,0)))</f>
        <v>34</v>
      </c>
      <c r="AE11" s="521"/>
      <c r="AF11" s="130" t="str">
        <f ca="1">IF(AD11="","",IF(AK105=AW107,AW107,AW108))</f>
        <v>cm</v>
      </c>
    </row>
    <row r="12" spans="1:35" s="47" customFormat="1" ht="15" customHeight="1" x14ac:dyDescent="0.25">
      <c r="A12" s="367"/>
      <c r="B12" s="368"/>
      <c r="C12" s="368"/>
      <c r="D12" s="369"/>
      <c r="E12" s="581"/>
      <c r="F12" s="582"/>
      <c r="G12" s="582"/>
      <c r="H12" s="582"/>
      <c r="I12" s="583"/>
      <c r="J12" s="363"/>
      <c r="K12" s="363"/>
      <c r="L12" s="525"/>
      <c r="M12" s="525"/>
      <c r="N12" s="525"/>
      <c r="O12" s="525"/>
      <c r="P12" s="525"/>
      <c r="Q12" s="525"/>
      <c r="R12" s="525"/>
      <c r="S12" s="525"/>
      <c r="T12" s="525"/>
      <c r="U12" s="525"/>
      <c r="V12" s="526"/>
      <c r="W12" s="523" t="str">
        <f ca="1">IF($AD$3="","",EW99)</f>
        <v>in open position</v>
      </c>
      <c r="X12" s="522"/>
      <c r="Y12" s="522"/>
      <c r="Z12" s="522"/>
      <c r="AA12" s="522" t="str">
        <f ca="1">IF(AA4 ="","",AA4)</f>
        <v/>
      </c>
      <c r="AB12" s="522"/>
      <c r="AC12" s="522"/>
      <c r="AD12" s="521" t="str">
        <f ca="1">IF($E$19=AW105,"",IF(AD3="","",IF(AK105=AW107,BR92,ROUNDUP(BR92/AH104,0))))</f>
        <v/>
      </c>
      <c r="AE12" s="521"/>
      <c r="AF12" s="130" t="str">
        <f ca="1">IF(AD12="","",AF11)</f>
        <v/>
      </c>
    </row>
    <row r="13" spans="1:35" s="47" customFormat="1" ht="15" customHeight="1" x14ac:dyDescent="0.25">
      <c r="A13" s="364" t="str">
        <f ca="1">IF(AK105=AW107,EW69,EW70)</f>
        <v xml:space="preserve">Track size in cm   = </v>
      </c>
      <c r="B13" s="365"/>
      <c r="C13" s="365"/>
      <c r="D13" s="366"/>
      <c r="E13" s="539">
        <v>100</v>
      </c>
      <c r="F13" s="540"/>
      <c r="G13" s="540"/>
      <c r="H13" s="540"/>
      <c r="I13" s="541"/>
      <c r="J13" s="363" t="str">
        <f ca="1">IF(A2="","",IF(H104+H105+H106+H107+K131&gt;=1,"!",""))</f>
        <v/>
      </c>
      <c r="K13" s="363"/>
      <c r="L13" s="517" t="str">
        <f ca="1">IF(E13="",EW87,IF(H105=1,EW90,IF(H106=1,EW89,IF(H107=1,EW88,IF(K131=1,EW147,"")))))</f>
        <v/>
      </c>
      <c r="M13" s="517"/>
      <c r="N13" s="517"/>
      <c r="O13" s="517"/>
      <c r="P13" s="517"/>
      <c r="Q13" s="517"/>
      <c r="R13" s="517"/>
      <c r="S13" s="517"/>
      <c r="T13" s="517"/>
      <c r="U13" s="517"/>
      <c r="V13" s="518"/>
      <c r="W13" s="523" t="str">
        <f ca="1">IF($AD$3="","",EW100)</f>
        <v>(minimal)</v>
      </c>
      <c r="X13" s="522"/>
      <c r="Y13" s="522"/>
      <c r="Z13" s="522"/>
      <c r="AA13" s="115"/>
      <c r="AB13" s="115"/>
      <c r="AC13" s="115"/>
      <c r="AE13" s="131"/>
      <c r="AF13" s="130"/>
    </row>
    <row r="14" spans="1:35" s="47" customFormat="1" ht="15" customHeight="1" x14ac:dyDescent="0.25">
      <c r="A14" s="367"/>
      <c r="B14" s="368"/>
      <c r="C14" s="368"/>
      <c r="D14" s="369"/>
      <c r="E14" s="530"/>
      <c r="F14" s="531"/>
      <c r="G14" s="531"/>
      <c r="H14" s="531"/>
      <c r="I14" s="532"/>
      <c r="J14" s="363"/>
      <c r="K14" s="363"/>
      <c r="L14" s="517"/>
      <c r="M14" s="517"/>
      <c r="N14" s="517"/>
      <c r="O14" s="517"/>
      <c r="P14" s="517"/>
      <c r="Q14" s="517"/>
      <c r="R14" s="517"/>
      <c r="S14" s="517"/>
      <c r="T14" s="517"/>
      <c r="U14" s="517"/>
      <c r="V14" s="518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364" t="str">
        <f ca="1">EW71</f>
        <v xml:space="preserve">Type of Carrier    = </v>
      </c>
      <c r="B15" s="365"/>
      <c r="C15" s="365"/>
      <c r="D15" s="366"/>
      <c r="E15" s="527" t="s">
        <v>0</v>
      </c>
      <c r="F15" s="528"/>
      <c r="G15" s="528"/>
      <c r="H15" s="528"/>
      <c r="I15" s="529"/>
      <c r="J15" s="363" t="str">
        <f ca="1">IF(A2="","",IF(OR(H108=1,H110=1),"!",""))</f>
        <v/>
      </c>
      <c r="K15" s="363"/>
      <c r="L15" s="525" t="str">
        <f ca="1">IF(E15="",EW87,IF(H110=1,EW91,""))</f>
        <v/>
      </c>
      <c r="M15" s="525"/>
      <c r="N15" s="525"/>
      <c r="O15" s="525"/>
      <c r="P15" s="525"/>
      <c r="Q15" s="525"/>
      <c r="R15" s="525"/>
      <c r="S15" s="525"/>
      <c r="T15" s="525"/>
      <c r="U15" s="525"/>
      <c r="V15" s="526"/>
      <c r="W15" s="523" t="str">
        <f ca="1">IF($AD$15="","",IF($H$101=0,EW101,""))</f>
        <v>Total tape length</v>
      </c>
      <c r="X15" s="522"/>
      <c r="Y15" s="522"/>
      <c r="Z15" s="522"/>
      <c r="AA15" s="522" t="str">
        <f ca="1">IF(AD15="","",AA3)</f>
        <v/>
      </c>
      <c r="AB15" s="522"/>
      <c r="AC15" s="522"/>
      <c r="AD15" s="521" t="str">
        <f ca="1">IF($H$101=1,"",IF($I$101=1,"","± "&amp;IF(AK105=AW107,BP77,ROUNDUP(BP77/AH104,0))))</f>
        <v>± 256</v>
      </c>
      <c r="AE15" s="521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367"/>
      <c r="B16" s="368"/>
      <c r="C16" s="368"/>
      <c r="D16" s="369"/>
      <c r="E16" s="530"/>
      <c r="F16" s="531"/>
      <c r="G16" s="531"/>
      <c r="H16" s="531"/>
      <c r="I16" s="532"/>
      <c r="J16" s="363"/>
      <c r="K16" s="363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6"/>
      <c r="W16" s="523" t="str">
        <f ca="1">IF($AD$15="","",IF($H$101=0,EW102,""))</f>
        <v>required</v>
      </c>
      <c r="X16" s="522"/>
      <c r="Y16" s="522"/>
      <c r="Z16" s="522"/>
      <c r="AA16" s="522" t="str">
        <f ca="1">IF(AA15="","",IF(E19=AW105,"",AA4))</f>
        <v/>
      </c>
      <c r="AB16" s="522"/>
      <c r="AC16" s="522"/>
      <c r="AD16" s="521" t="str">
        <f ca="1">IF(AD15="","",IF($E$19=AW105,"","± "&amp;IF(AK105=AW107,BR77,ROUNDUP(BR77/AH104,0))))</f>
        <v/>
      </c>
      <c r="AE16" s="521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364" t="str">
        <f ca="1">EW73</f>
        <v xml:space="preserve">Carrier distance   = </v>
      </c>
      <c r="B17" s="365"/>
      <c r="C17" s="365"/>
      <c r="D17" s="366"/>
      <c r="E17" s="533" t="s">
        <v>8</v>
      </c>
      <c r="F17" s="534"/>
      <c r="G17" s="534"/>
      <c r="H17" s="534"/>
      <c r="I17" s="535"/>
      <c r="J17" s="363" t="str">
        <f ca="1">IF(A2="","",IF(OR(H111=1,H109=1,H112=1),"!",""))</f>
        <v/>
      </c>
      <c r="K17" s="363"/>
      <c r="L17" s="525" t="str">
        <f ca="1">IF(E17="",EW87,IF(H112=1,EW91,""))</f>
        <v/>
      </c>
      <c r="M17" s="525"/>
      <c r="N17" s="525"/>
      <c r="O17" s="525"/>
      <c r="P17" s="525"/>
      <c r="Q17" s="525"/>
      <c r="R17" s="525"/>
      <c r="S17" s="525"/>
      <c r="T17" s="525"/>
      <c r="U17" s="525"/>
      <c r="V17" s="526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367"/>
      <c r="B18" s="368"/>
      <c r="C18" s="368"/>
      <c r="D18" s="369"/>
      <c r="E18" s="536"/>
      <c r="F18" s="537"/>
      <c r="G18" s="537"/>
      <c r="H18" s="537"/>
      <c r="I18" s="538"/>
      <c r="J18" s="363"/>
      <c r="K18" s="363"/>
      <c r="L18" s="525"/>
      <c r="M18" s="525"/>
      <c r="N18" s="525"/>
      <c r="O18" s="525"/>
      <c r="P18" s="525"/>
      <c r="Q18" s="525"/>
      <c r="R18" s="525"/>
      <c r="S18" s="525"/>
      <c r="T18" s="525"/>
      <c r="U18" s="525"/>
      <c r="V18" s="526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575" t="str">
        <f ca="1">EW76</f>
        <v>One-way draw &lt;&gt;</v>
      </c>
      <c r="B19" s="576"/>
      <c r="C19" s="576"/>
      <c r="D19" s="577"/>
      <c r="E19" s="539" t="s">
        <v>11</v>
      </c>
      <c r="F19" s="540"/>
      <c r="G19" s="540"/>
      <c r="H19" s="540"/>
      <c r="I19" s="541"/>
      <c r="J19" s="363" t="str">
        <f ca="1">IF(A2="","",IF(H113+H119+H114&gt;=1,"!",""))</f>
        <v/>
      </c>
      <c r="K19" s="363"/>
      <c r="L19" s="525" t="str">
        <f ca="1">IF(E19="",EW87,IF(H119=1,EW91,IF(H114=1,EW93,"")))</f>
        <v/>
      </c>
      <c r="M19" s="525"/>
      <c r="N19" s="525"/>
      <c r="O19" s="525"/>
      <c r="P19" s="525"/>
      <c r="Q19" s="525"/>
      <c r="R19" s="525"/>
      <c r="S19" s="525"/>
      <c r="T19" s="525"/>
      <c r="U19" s="525"/>
      <c r="V19" s="526"/>
      <c r="W19" s="523" t="str">
        <f ca="1">IF($AD$15="","",IF($H$101=0,EW103,""))</f>
        <v>Curtain fullness</v>
      </c>
      <c r="X19" s="522"/>
      <c r="Y19" s="522"/>
      <c r="Z19" s="522"/>
      <c r="AA19" s="522" t="str">
        <f ca="1">IF(AA15="","",AA3)</f>
        <v/>
      </c>
      <c r="AB19" s="522"/>
      <c r="AC19" s="522"/>
      <c r="AD19" s="584">
        <f ca="1">IF(AD15="","",BP82)</f>
        <v>256</v>
      </c>
      <c r="AE19" s="584"/>
      <c r="AF19" s="130" t="str">
        <f ca="1">IF(AD19="","","%")</f>
        <v>%</v>
      </c>
    </row>
    <row r="20" spans="1:35" s="47" customFormat="1" ht="15" customHeight="1" x14ac:dyDescent="0.25">
      <c r="A20" s="572" t="str">
        <f ca="1">EW77</f>
        <v xml:space="preserve">Center closing   = </v>
      </c>
      <c r="B20" s="573"/>
      <c r="C20" s="573"/>
      <c r="D20" s="574"/>
      <c r="E20" s="530"/>
      <c r="F20" s="531"/>
      <c r="G20" s="531"/>
      <c r="H20" s="531"/>
      <c r="I20" s="532"/>
      <c r="J20" s="363"/>
      <c r="K20" s="363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6"/>
      <c r="W20" s="123"/>
      <c r="AA20" s="522" t="str">
        <f ca="1">IF(AA16="","",AA4)</f>
        <v/>
      </c>
      <c r="AB20" s="522"/>
      <c r="AC20" s="522"/>
      <c r="AD20" s="584" t="str">
        <f ca="1">IF(AD16="","",BR82)</f>
        <v/>
      </c>
      <c r="AE20" s="584"/>
      <c r="AF20" s="130" t="str">
        <f ca="1">IF(AD20="","","%")</f>
        <v/>
      </c>
    </row>
    <row r="21" spans="1:35" s="47" customFormat="1" ht="15" customHeight="1" x14ac:dyDescent="0.25">
      <c r="A21" s="364" t="str">
        <f ca="1">IF($P$57=0,"",EW78)</f>
        <v xml:space="preserve">Master type     = </v>
      </c>
      <c r="B21" s="365"/>
      <c r="C21" s="365"/>
      <c r="D21" s="366"/>
      <c r="E21" s="533" t="s">
        <v>51</v>
      </c>
      <c r="F21" s="534"/>
      <c r="G21" s="534"/>
      <c r="H21" s="534"/>
      <c r="I21" s="535"/>
      <c r="J21" s="363" t="str">
        <f ca="1">IF(A2="","",IF(H115+H116&gt;=1,"!",""))</f>
        <v/>
      </c>
      <c r="K21" s="363"/>
      <c r="L21" s="525" t="str">
        <f ca="1">IF(J21="","",IF(E21="",EW87,IF(H116=1,EW93,"")))</f>
        <v/>
      </c>
      <c r="M21" s="525"/>
      <c r="N21" s="525"/>
      <c r="O21" s="525"/>
      <c r="P21" s="525"/>
      <c r="Q21" s="525"/>
      <c r="R21" s="525"/>
      <c r="S21" s="525"/>
      <c r="T21" s="525"/>
      <c r="U21" s="525"/>
      <c r="V21" s="526"/>
      <c r="W21" s="123"/>
      <c r="AF21" s="130"/>
    </row>
    <row r="22" spans="1:35" s="47" customFormat="1" ht="15" customHeight="1" x14ac:dyDescent="0.25">
      <c r="A22" s="367"/>
      <c r="B22" s="368"/>
      <c r="C22" s="368"/>
      <c r="D22" s="369"/>
      <c r="E22" s="536"/>
      <c r="F22" s="537"/>
      <c r="G22" s="537"/>
      <c r="H22" s="537"/>
      <c r="I22" s="538"/>
      <c r="J22" s="363"/>
      <c r="K22" s="363"/>
      <c r="L22" s="525"/>
      <c r="M22" s="525"/>
      <c r="N22" s="525"/>
      <c r="O22" s="525"/>
      <c r="P22" s="525"/>
      <c r="Q22" s="525"/>
      <c r="R22" s="525"/>
      <c r="S22" s="525"/>
      <c r="T22" s="525"/>
      <c r="U22" s="525"/>
      <c r="V22" s="526"/>
      <c r="W22" s="123"/>
      <c r="AF22" s="130"/>
    </row>
    <row r="23" spans="1:35" s="47" customFormat="1" ht="15" customHeight="1" x14ac:dyDescent="0.25">
      <c r="A23" s="575" t="str">
        <f ca="1">IF(E11=A76,EW80,"")</f>
        <v/>
      </c>
      <c r="B23" s="576"/>
      <c r="C23" s="576"/>
      <c r="D23" s="577"/>
      <c r="E23" s="539"/>
      <c r="F23" s="540"/>
      <c r="G23" s="540"/>
      <c r="H23" s="540"/>
      <c r="I23" s="541"/>
      <c r="J23" s="363" t="str">
        <f ca="1">IF(A2="","",IF(L23="","","!"))</f>
        <v/>
      </c>
      <c r="K23" s="363"/>
      <c r="L23" s="525" t="str">
        <f ca="1">IF(E11=A76,IF(E23="",EW87,IF(H118=1,EW90,IF(H121=1,EW88,IF(H120=1,EW89,"")))),"")</f>
        <v/>
      </c>
      <c r="M23" s="525"/>
      <c r="N23" s="525"/>
      <c r="O23" s="525"/>
      <c r="P23" s="525"/>
      <c r="Q23" s="525"/>
      <c r="R23" s="525"/>
      <c r="S23" s="525"/>
      <c r="T23" s="525"/>
      <c r="U23" s="525"/>
      <c r="V23" s="526"/>
      <c r="W23" s="592" t="str">
        <f ca="1">IF($AD$15="","",EW104)</f>
        <v xml:space="preserve">    Total depth of the curtain:</v>
      </c>
      <c r="X23" s="500"/>
      <c r="Y23" s="500"/>
      <c r="Z23" s="500"/>
      <c r="AA23" s="500"/>
      <c r="AB23" s="500"/>
      <c r="AE23" s="136"/>
      <c r="AF23" s="137"/>
    </row>
    <row r="24" spans="1:35" s="47" customFormat="1" ht="15" customHeight="1" x14ac:dyDescent="0.25">
      <c r="A24" s="572" t="str">
        <f ca="1">IF(E11=A76,EW81,"")</f>
        <v/>
      </c>
      <c r="B24" s="573"/>
      <c r="C24" s="573"/>
      <c r="D24" s="574"/>
      <c r="E24" s="530"/>
      <c r="F24" s="531"/>
      <c r="G24" s="531"/>
      <c r="H24" s="531"/>
      <c r="I24" s="532"/>
      <c r="J24" s="363"/>
      <c r="K24" s="363"/>
      <c r="L24" s="525"/>
      <c r="M24" s="525"/>
      <c r="N24" s="525"/>
      <c r="O24" s="525"/>
      <c r="P24" s="525"/>
      <c r="Q24" s="525"/>
      <c r="R24" s="525"/>
      <c r="S24" s="525"/>
      <c r="T24" s="525"/>
      <c r="U24" s="525"/>
      <c r="V24" s="526"/>
      <c r="W24" s="138" t="str">
        <f ca="1">IF(X24="","","-")</f>
        <v>-</v>
      </c>
      <c r="X24" s="500" t="str">
        <f ca="1">IF($AD$15="","",EW105)</f>
        <v>In closed position</v>
      </c>
      <c r="Y24" s="500"/>
      <c r="Z24" s="500"/>
      <c r="AA24" s="500"/>
      <c r="AB24" s="500"/>
      <c r="AD24" s="524" t="str">
        <f ca="1">IF(AD15="","","± "&amp;IF(AK105=AW107,BV122,ROUNDUP(BV122/AH104,0)))</f>
        <v>± 13</v>
      </c>
      <c r="AE24" s="524"/>
      <c r="AF24" s="137" t="str">
        <f ca="1">IF(AD24="","",IF(AK105=AW107,AW107,AW108))</f>
        <v>cm</v>
      </c>
    </row>
    <row r="25" spans="1:35" s="47" customFormat="1" ht="15" customHeight="1" x14ac:dyDescent="0.25">
      <c r="A25" s="556" t="str">
        <f ca="1">IF(J57=2,IF(E19=AW105,"",EW82),"")</f>
        <v/>
      </c>
      <c r="B25" s="557"/>
      <c r="C25" s="557"/>
      <c r="D25" s="558"/>
      <c r="E25" s="539"/>
      <c r="F25" s="540"/>
      <c r="G25" s="540"/>
      <c r="H25" s="540"/>
      <c r="I25" s="541"/>
      <c r="J25" s="139"/>
      <c r="K25" s="124"/>
      <c r="P25" s="140"/>
      <c r="W25" s="138" t="str">
        <f ca="1">IF(X25="","","-")</f>
        <v>-</v>
      </c>
      <c r="X25" s="500" t="str">
        <f ca="1">IF($AD$15="","",EW106)</f>
        <v>With open position</v>
      </c>
      <c r="Y25" s="500"/>
      <c r="Z25" s="500"/>
      <c r="AA25" s="500"/>
      <c r="AB25" s="500"/>
      <c r="AD25" s="524" t="str">
        <f ca="1">IF(AD15="","","± "&amp;IF(AK105=AW107,BY122,ROUNDUP(BY122/AH104,0)))</f>
        <v>± 16</v>
      </c>
      <c r="AE25" s="524"/>
      <c r="AF25" s="137" t="str">
        <f ca="1">IF(AD25="","",IF(AK105=AW107,AW107,AW108))</f>
        <v>cm</v>
      </c>
    </row>
    <row r="26" spans="1:35" s="47" customFormat="1" ht="15" customHeight="1" thickBot="1" x14ac:dyDescent="0.3">
      <c r="A26" s="367" t="str">
        <f ca="1">IF(J57=2,IF(E19=AW105,"",EW83),"")</f>
        <v/>
      </c>
      <c r="B26" s="368"/>
      <c r="C26" s="368"/>
      <c r="D26" s="369"/>
      <c r="E26" s="530"/>
      <c r="F26" s="531"/>
      <c r="G26" s="531"/>
      <c r="H26" s="531"/>
      <c r="I26" s="532"/>
      <c r="J26" s="124"/>
      <c r="K26" s="124"/>
      <c r="O26" s="519" t="str">
        <f ca="1">IF(A25="","",IF($BV$65=0,"",IF(J101&gt;=1,"",E25)))</f>
        <v/>
      </c>
      <c r="P26" s="519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542" t="str">
        <f ca="1">EW84</f>
        <v>Distance between</v>
      </c>
      <c r="B27" s="543"/>
      <c r="C27" s="543"/>
      <c r="D27" s="544"/>
      <c r="E27" s="545">
        <v>16</v>
      </c>
      <c r="F27" s="546"/>
      <c r="G27" s="546"/>
      <c r="H27" s="546"/>
      <c r="I27" s="547"/>
      <c r="J27" s="363" t="str">
        <f>IF(A2="","",IF(I129=1,"!",""))</f>
        <v/>
      </c>
      <c r="K27" s="363"/>
      <c r="M27" s="591" t="str">
        <f>IF(J27="","",IF(I129=1,EW91,""))</f>
        <v/>
      </c>
      <c r="N27" s="591"/>
      <c r="O27" s="591"/>
      <c r="P27" s="591"/>
      <c r="Q27" s="591"/>
      <c r="R27" s="591"/>
      <c r="S27" s="591"/>
      <c r="T27" s="256"/>
      <c r="U27" s="256"/>
      <c r="V27" s="256"/>
    </row>
    <row r="28" spans="1:35" s="47" customFormat="1" ht="15.75" customHeight="1" thickBot="1" x14ac:dyDescent="0.3">
      <c r="A28" s="563" t="str">
        <f ca="1">IF(AK105=AW107,EW85,EW86)</f>
        <v xml:space="preserve"> hooks in cm*    = </v>
      </c>
      <c r="B28" s="564"/>
      <c r="C28" s="564"/>
      <c r="D28" s="565"/>
      <c r="E28" s="548"/>
      <c r="F28" s="549"/>
      <c r="G28" s="549"/>
      <c r="H28" s="549"/>
      <c r="I28" s="550"/>
      <c r="J28" s="363"/>
      <c r="K28" s="363"/>
      <c r="L28" s="256"/>
      <c r="M28" s="591"/>
      <c r="N28" s="591"/>
      <c r="O28" s="591"/>
      <c r="P28" s="591"/>
      <c r="Q28" s="591"/>
      <c r="R28" s="591"/>
      <c r="S28" s="591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551" t="str">
        <f ca="1">EW118</f>
        <v>*  In combination with 'Easyflex hook fitter 9900000017'.</v>
      </c>
      <c r="B40" s="551"/>
      <c r="C40" s="551"/>
      <c r="D40" s="551"/>
      <c r="E40" s="551"/>
      <c r="F40" s="551"/>
      <c r="G40" s="551"/>
      <c r="H40" s="551"/>
      <c r="I40" s="551"/>
      <c r="J40" s="551"/>
      <c r="K40" s="551"/>
      <c r="L40" s="551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500"/>
      <c r="BU40" s="500"/>
    </row>
    <row r="41" spans="1:73" s="47" customFormat="1" x14ac:dyDescent="0.25">
      <c r="A41" s="551" t="str">
        <f ca="1">EW119</f>
        <v>** Includes carriers that are placed inside master carriers.</v>
      </c>
      <c r="B41" s="551"/>
      <c r="C41" s="551"/>
      <c r="D41" s="551"/>
      <c r="E41" s="551"/>
      <c r="F41" s="551"/>
      <c r="G41" s="551"/>
      <c r="H41" s="551"/>
      <c r="I41" s="551"/>
      <c r="J41" s="551"/>
      <c r="K41" s="551"/>
      <c r="L41" s="551"/>
      <c r="M41" s="551"/>
      <c r="N41" s="551"/>
      <c r="O41" s="551"/>
      <c r="P41" s="551"/>
      <c r="Q41" s="551"/>
      <c r="T41" s="115"/>
      <c r="W41" s="115"/>
      <c r="AJ41" s="251"/>
    </row>
    <row r="42" spans="1:73" s="47" customFormat="1" x14ac:dyDescent="0.25">
      <c r="A42" s="551" t="str">
        <f ca="1">EW120</f>
        <v>*** Always measured from the left side, only for hand operated curtains.</v>
      </c>
      <c r="B42" s="551"/>
      <c r="C42" s="551"/>
      <c r="D42" s="551"/>
      <c r="E42" s="551"/>
      <c r="F42" s="551"/>
      <c r="G42" s="551"/>
      <c r="H42" s="551"/>
      <c r="I42" s="551"/>
      <c r="J42" s="551"/>
      <c r="K42" s="551"/>
      <c r="L42" s="551"/>
      <c r="M42" s="551"/>
      <c r="N42" s="551"/>
      <c r="O42" s="551"/>
      <c r="P42" s="551"/>
      <c r="Q42" s="551"/>
      <c r="BT42" s="253"/>
    </row>
    <row r="43" spans="1:73" s="47" customFormat="1" x14ac:dyDescent="0.25">
      <c r="A43" s="551" t="str">
        <f ca="1">EW121</f>
        <v>- Product tolerances are calculated in the final results.</v>
      </c>
      <c r="B43" s="551"/>
      <c r="C43" s="551"/>
      <c r="D43" s="551"/>
      <c r="E43" s="551"/>
      <c r="F43" s="551"/>
      <c r="G43" s="551"/>
      <c r="H43" s="551"/>
      <c r="I43" s="551"/>
      <c r="J43" s="551"/>
      <c r="K43" s="551"/>
      <c r="L43" s="551"/>
      <c r="M43" s="551"/>
      <c r="N43" s="551"/>
      <c r="O43" s="551"/>
      <c r="P43" s="551"/>
      <c r="Q43" s="551"/>
    </row>
    <row r="44" spans="1:73" s="47" customFormat="1" x14ac:dyDescent="0.25">
      <c r="A44" s="551" t="str">
        <f ca="1">EW122</f>
        <v>- No rights can be derived from this calculation tool.</v>
      </c>
      <c r="B44" s="551"/>
      <c r="C44" s="551"/>
      <c r="D44" s="551"/>
      <c r="E44" s="551"/>
      <c r="F44" s="551"/>
      <c r="G44" s="551"/>
      <c r="H44" s="551"/>
      <c r="I44" s="551"/>
      <c r="J44" s="551"/>
      <c r="K44" s="551"/>
      <c r="L44" s="551"/>
      <c r="M44" s="551"/>
      <c r="N44" s="551"/>
      <c r="O44" s="551"/>
      <c r="P44" s="551"/>
      <c r="Q44" s="551"/>
      <c r="AZ44" s="244"/>
      <c r="BT44" s="253"/>
    </row>
    <row r="45" spans="1:73" s="47" customFormat="1" x14ac:dyDescent="0.25">
      <c r="A45" s="551" t="str">
        <f ca="1">IF(L101=0,"",EW123)</f>
        <v/>
      </c>
      <c r="B45" s="551"/>
      <c r="C45" s="551"/>
      <c r="D45" s="551"/>
      <c r="E45" s="551"/>
      <c r="F45" s="551"/>
      <c r="G45" s="551"/>
      <c r="H45" s="551"/>
      <c r="I45" s="551"/>
      <c r="J45" s="551"/>
      <c r="K45" s="551"/>
      <c r="L45" s="551"/>
      <c r="M45" s="551"/>
      <c r="N45" s="551"/>
      <c r="O45" s="551"/>
      <c r="P45" s="551"/>
      <c r="Q45" s="551"/>
      <c r="R45" s="551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561" t="s">
        <v>48</v>
      </c>
      <c r="H47" s="588"/>
      <c r="J47" s="561" t="s">
        <v>27</v>
      </c>
      <c r="K47" s="559" t="s">
        <v>71</v>
      </c>
      <c r="L47" s="566" t="s">
        <v>288</v>
      </c>
      <c r="M47" s="593" t="s">
        <v>270</v>
      </c>
      <c r="N47" s="417"/>
      <c r="O47" s="417" t="s">
        <v>301</v>
      </c>
      <c r="P47" s="593" t="s">
        <v>299</v>
      </c>
      <c r="Q47" s="595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561"/>
      <c r="H48" s="588"/>
      <c r="J48" s="561"/>
      <c r="K48" s="559"/>
      <c r="L48" s="566"/>
      <c r="M48" s="593"/>
      <c r="N48" s="417"/>
      <c r="O48" s="417"/>
      <c r="P48" s="593"/>
      <c r="Q48" s="595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561"/>
      <c r="H49" s="588"/>
      <c r="J49" s="561"/>
      <c r="K49" s="559"/>
      <c r="L49" s="566"/>
      <c r="M49" s="593"/>
      <c r="N49" s="417"/>
      <c r="O49" s="417"/>
      <c r="P49" s="593"/>
      <c r="Q49" s="595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561"/>
      <c r="H50" s="588"/>
      <c r="J50" s="561"/>
      <c r="K50" s="559"/>
      <c r="L50" s="566"/>
      <c r="M50" s="593"/>
      <c r="N50" s="417"/>
      <c r="O50" s="417"/>
      <c r="P50" s="593"/>
      <c r="Q50" s="595"/>
      <c r="R50" s="6"/>
      <c r="T50" s="187"/>
      <c r="U50" s="329" t="s">
        <v>292</v>
      </c>
      <c r="V50" s="327"/>
      <c r="W50" s="327"/>
      <c r="X50" s="327"/>
      <c r="Y50" s="327"/>
      <c r="Z50" s="386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561"/>
      <c r="H51" s="588"/>
      <c r="J51" s="561"/>
      <c r="K51" s="559"/>
      <c r="L51" s="566"/>
      <c r="M51" s="593"/>
      <c r="N51" s="417"/>
      <c r="O51" s="417"/>
      <c r="P51" s="593"/>
      <c r="Q51" s="595"/>
      <c r="R51" s="6"/>
      <c r="T51" s="187"/>
      <c r="U51" s="411" t="s">
        <v>295</v>
      </c>
      <c r="V51" s="446"/>
      <c r="W51" s="311" t="s">
        <v>296</v>
      </c>
      <c r="X51" s="311"/>
      <c r="Y51" s="446" t="s">
        <v>297</v>
      </c>
      <c r="Z51" s="412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561"/>
      <c r="H52" s="588"/>
      <c r="J52" s="561"/>
      <c r="K52" s="559"/>
      <c r="L52" s="566"/>
      <c r="M52" s="593"/>
      <c r="N52" s="417"/>
      <c r="O52" s="417"/>
      <c r="P52" s="593"/>
      <c r="Q52" s="595"/>
      <c r="R52" s="6"/>
      <c r="T52" s="188"/>
      <c r="U52" s="413"/>
      <c r="V52" s="447"/>
      <c r="W52" s="312"/>
      <c r="X52" s="312"/>
      <c r="Y52" s="447"/>
      <c r="Z52" s="414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561"/>
      <c r="H53" s="588"/>
      <c r="J53" s="561"/>
      <c r="K53" s="559"/>
      <c r="L53" s="566"/>
      <c r="M53" s="593"/>
      <c r="N53" s="417"/>
      <c r="O53" s="417"/>
      <c r="P53" s="593"/>
      <c r="Q53" s="595"/>
      <c r="R53" s="6"/>
      <c r="T53" s="189"/>
      <c r="U53" s="413"/>
      <c r="V53" s="447"/>
      <c r="W53" s="312"/>
      <c r="X53" s="312"/>
      <c r="Y53" s="447"/>
      <c r="Z53" s="414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561"/>
      <c r="H54" s="588"/>
      <c r="J54" s="561"/>
      <c r="K54" s="559"/>
      <c r="L54" s="566"/>
      <c r="M54" s="593" t="s">
        <v>283</v>
      </c>
      <c r="N54" s="417" t="s">
        <v>284</v>
      </c>
      <c r="O54" s="417"/>
      <c r="P54" s="593"/>
      <c r="Q54" s="595"/>
      <c r="R54" s="305" t="s">
        <v>300</v>
      </c>
      <c r="S54" s="306"/>
      <c r="T54" s="307"/>
      <c r="U54" s="413"/>
      <c r="V54" s="447"/>
      <c r="W54" s="312"/>
      <c r="X54" s="312"/>
      <c r="Y54" s="447"/>
      <c r="Z54" s="414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17" t="s">
        <v>246</v>
      </c>
      <c r="B55" s="317"/>
      <c r="C55" s="317"/>
      <c r="D55" s="317"/>
      <c r="E55" s="317"/>
      <c r="F55" s="317"/>
      <c r="G55" s="561"/>
      <c r="H55" s="588"/>
      <c r="J55" s="561"/>
      <c r="K55" s="559"/>
      <c r="L55" s="566"/>
      <c r="M55" s="593"/>
      <c r="N55" s="417"/>
      <c r="O55" s="417"/>
      <c r="P55" s="593"/>
      <c r="Q55" s="595"/>
      <c r="R55" s="305" t="s">
        <v>269</v>
      </c>
      <c r="S55" s="306"/>
      <c r="T55" s="307"/>
      <c r="U55" s="413"/>
      <c r="V55" s="447"/>
      <c r="W55" s="312"/>
      <c r="X55" s="312"/>
      <c r="Y55" s="447"/>
      <c r="Z55" s="414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590"/>
      <c r="B56" s="590"/>
      <c r="C56" s="590"/>
      <c r="D56" s="590"/>
      <c r="E56" s="590"/>
      <c r="F56" s="590"/>
      <c r="G56" s="562"/>
      <c r="H56" s="589"/>
      <c r="J56" s="562"/>
      <c r="K56" s="560"/>
      <c r="L56" s="567"/>
      <c r="M56" s="594"/>
      <c r="N56" s="418"/>
      <c r="O56" s="418"/>
      <c r="P56" s="594"/>
      <c r="Q56" s="596"/>
      <c r="R56" s="220" t="s">
        <v>39</v>
      </c>
      <c r="S56" s="41" t="s">
        <v>40</v>
      </c>
      <c r="T56" s="185" t="s">
        <v>41</v>
      </c>
      <c r="U56" s="415"/>
      <c r="V56" s="448"/>
      <c r="W56" s="313"/>
      <c r="X56" s="313"/>
      <c r="Y56" s="448"/>
      <c r="Z56" s="416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52" t="s">
        <v>47</v>
      </c>
      <c r="B57" s="552"/>
      <c r="C57" s="552"/>
      <c r="D57" s="552"/>
      <c r="E57" s="552"/>
      <c r="F57" s="552"/>
      <c r="G57" s="553">
        <f ca="1">SUM(H59:H80)</f>
        <v>1</v>
      </c>
      <c r="H57" s="554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55"/>
      <c r="B58" s="555"/>
      <c r="C58" s="555"/>
      <c r="D58" s="555"/>
      <c r="E58" s="555"/>
      <c r="F58" s="555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73" t="str">
        <f t="shared" ref="A59:A80" ca="1" si="0">EW124</f>
        <v>FMS (Shuttle)</v>
      </c>
      <c r="B59" s="373"/>
      <c r="C59" s="373"/>
      <c r="D59" s="373"/>
      <c r="E59" s="373"/>
      <c r="F59" s="373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88">
        <v>1</v>
      </c>
      <c r="N59" s="307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91">
        <v>8.5</v>
      </c>
      <c r="V59" s="373"/>
      <c r="W59" s="373">
        <v>6.5</v>
      </c>
      <c r="X59" s="373"/>
      <c r="Y59" s="373">
        <v>1</v>
      </c>
      <c r="Z59" s="390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73" t="str">
        <f t="shared" ca="1" si="0"/>
        <v>FMS Plus</v>
      </c>
      <c r="B60" s="373"/>
      <c r="C60" s="373"/>
      <c r="D60" s="373"/>
      <c r="E60" s="373"/>
      <c r="F60" s="374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05">
        <v>1</v>
      </c>
      <c r="N60" s="307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91">
        <v>6.8</v>
      </c>
      <c r="V60" s="373"/>
      <c r="W60" s="373">
        <v>5.3</v>
      </c>
      <c r="X60" s="373"/>
      <c r="Y60" s="373">
        <v>1</v>
      </c>
      <c r="Z60" s="390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73" t="str">
        <f t="shared" ca="1" si="0"/>
        <v>FMS Plus Recess</v>
      </c>
      <c r="B61" s="373"/>
      <c r="C61" s="373"/>
      <c r="D61" s="373"/>
      <c r="E61" s="373"/>
      <c r="F61" s="374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05">
        <v>1</v>
      </c>
      <c r="N61" s="307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91">
        <v>7.75</v>
      </c>
      <c r="V61" s="373"/>
      <c r="W61" s="373">
        <v>6.25</v>
      </c>
      <c r="X61" s="373"/>
      <c r="Y61" s="373">
        <v>1</v>
      </c>
      <c r="Z61" s="390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73" t="str">
        <f t="shared" ca="1" si="0"/>
        <v>MRS</v>
      </c>
      <c r="B62" s="373"/>
      <c r="C62" s="373"/>
      <c r="D62" s="373"/>
      <c r="E62" s="373"/>
      <c r="F62" s="374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05">
        <v>1</v>
      </c>
      <c r="N62" s="307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91">
        <v>12</v>
      </c>
      <c r="V62" s="373"/>
      <c r="W62" s="373">
        <v>12</v>
      </c>
      <c r="X62" s="373"/>
      <c r="Y62" s="373">
        <v>2</v>
      </c>
      <c r="Z62" s="390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73" t="str">
        <f t="shared" ca="1" si="0"/>
        <v>CCS</v>
      </c>
      <c r="B63" s="373"/>
      <c r="C63" s="373"/>
      <c r="D63" s="373"/>
      <c r="E63" s="373"/>
      <c r="F63" s="374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05">
        <v>1</v>
      </c>
      <c r="N63" s="307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91">
        <v>5.6</v>
      </c>
      <c r="V63" s="373"/>
      <c r="W63" s="373">
        <v>4</v>
      </c>
      <c r="X63" s="373"/>
      <c r="Y63" s="373">
        <v>1</v>
      </c>
      <c r="Z63" s="390"/>
      <c r="AA63"/>
      <c r="AI63" s="432" t="s">
        <v>216</v>
      </c>
      <c r="AJ63" s="433"/>
      <c r="AK63" s="433"/>
      <c r="AL63" s="434"/>
      <c r="AN63" s="204" t="s">
        <v>39</v>
      </c>
      <c r="AO63" s="420" t="s">
        <v>291</v>
      </c>
      <c r="AP63" s="420"/>
      <c r="AQ63" s="420"/>
      <c r="AR63" s="420"/>
      <c r="AS63" s="420"/>
      <c r="AT63" s="420"/>
      <c r="AU63" s="420"/>
      <c r="AV63" s="421"/>
      <c r="AW63" s="177"/>
      <c r="AY63" s="411" t="s">
        <v>266</v>
      </c>
      <c r="AZ63" s="412"/>
      <c r="BA63" s="446" t="s">
        <v>267</v>
      </c>
      <c r="BB63" s="412"/>
      <c r="BC63" s="446" t="s">
        <v>265</v>
      </c>
      <c r="BD63" s="412"/>
      <c r="BE63" s="446" t="s">
        <v>294</v>
      </c>
      <c r="BF63" s="412"/>
      <c r="BP63" s="443">
        <f ca="1">AH108</f>
        <v>100</v>
      </c>
      <c r="BQ63" s="444"/>
      <c r="BR63" s="443">
        <f ca="1">AH108</f>
        <v>100</v>
      </c>
      <c r="BS63" s="445"/>
      <c r="BT63" s="351" t="s">
        <v>84</v>
      </c>
      <c r="BU63" s="352"/>
      <c r="BV63" s="352"/>
      <c r="BW63" s="352"/>
      <c r="BX63" s="352"/>
      <c r="BY63" s="352"/>
      <c r="BZ63" s="352"/>
      <c r="CB63" s="327" t="s">
        <v>206</v>
      </c>
      <c r="CC63" s="327"/>
      <c r="CD63" s="327"/>
      <c r="CE63" s="327"/>
      <c r="CF63" s="327"/>
      <c r="CG63" s="327"/>
      <c r="CH63" s="327"/>
      <c r="CI63" s="327"/>
      <c r="CJ63" s="327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73" t="str">
        <f t="shared" ca="1" si="0"/>
        <v>CRS Corded</v>
      </c>
      <c r="B64" s="373"/>
      <c r="C64" s="373"/>
      <c r="D64" s="373"/>
      <c r="E64" s="373"/>
      <c r="F64" s="374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05">
        <v>1</v>
      </c>
      <c r="N64" s="307"/>
      <c r="O64" s="7"/>
      <c r="P64" s="6"/>
      <c r="Q64" s="4">
        <v>3</v>
      </c>
      <c r="R64" s="6">
        <v>1</v>
      </c>
      <c r="S64" s="4">
        <v>1</v>
      </c>
      <c r="T64" s="7"/>
      <c r="U64" s="391">
        <v>5.5</v>
      </c>
      <c r="V64" s="373"/>
      <c r="W64" s="373">
        <v>5.5</v>
      </c>
      <c r="X64" s="373"/>
      <c r="Y64" s="373">
        <v>1</v>
      </c>
      <c r="Z64" s="390"/>
      <c r="AA64"/>
      <c r="AI64" s="248"/>
      <c r="AJ64" s="241">
        <f ca="1">SUM(AJ65:AJ67)</f>
        <v>3</v>
      </c>
      <c r="AK64" s="430">
        <f ca="1">OFFSET(AK65,AJ64-1,0,1,1)</f>
        <v>7.9130000000000003</v>
      </c>
      <c r="AL64" s="431"/>
      <c r="AN64" s="198"/>
      <c r="AO64" s="202">
        <f ca="1">G57</f>
        <v>1</v>
      </c>
      <c r="AP64" s="404" t="s">
        <v>289</v>
      </c>
      <c r="AQ64" s="405"/>
      <c r="AR64" s="405"/>
      <c r="AS64" s="405"/>
      <c r="AT64" s="405"/>
      <c r="AU64" s="405"/>
      <c r="AV64" s="406"/>
      <c r="AW64" s="177"/>
      <c r="AY64" s="413"/>
      <c r="AZ64" s="414"/>
      <c r="BA64" s="447"/>
      <c r="BB64" s="414"/>
      <c r="BC64" s="447"/>
      <c r="BD64" s="414"/>
      <c r="BE64" s="447"/>
      <c r="BF64" s="414"/>
      <c r="BP64" s="440">
        <f ca="1">IF(CL82=AW106,BP63/2,BP63)</f>
        <v>100</v>
      </c>
      <c r="BQ64" s="441"/>
      <c r="BR64" s="440">
        <f ca="1">IF(CL82=AW106,BR63/2,BR63)</f>
        <v>100</v>
      </c>
      <c r="BS64" s="442"/>
      <c r="BT64" s="305" t="str">
        <f ca="1">IF(CL82=AW106,"/2","…")</f>
        <v>…</v>
      </c>
      <c r="BU64" s="306"/>
      <c r="BV64" s="352" t="str">
        <f ca="1">IF(CL82=AW106,EY107,EY108)</f>
        <v>Enkelpakket</v>
      </c>
      <c r="BW64" s="352"/>
      <c r="BX64" s="352"/>
      <c r="BY64" s="352"/>
      <c r="BZ64" s="352"/>
      <c r="CB64" s="308" t="s">
        <v>207</v>
      </c>
      <c r="CC64" s="308"/>
      <c r="CD64" s="308"/>
      <c r="CE64" s="450"/>
      <c r="CF64" s="449" t="str">
        <f t="shared" ref="CF64:CF72" ca="1" si="4">CL78</f>
        <v>FMS (Shuttle)</v>
      </c>
      <c r="CG64" s="306"/>
      <c r="CH64" s="306"/>
      <c r="CI64" s="306"/>
      <c r="CJ64" s="306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73" t="str">
        <f t="shared" ca="1" si="0"/>
        <v>CRS 20</v>
      </c>
      <c r="B65" s="373"/>
      <c r="C65" s="373"/>
      <c r="D65" s="373"/>
      <c r="E65" s="373"/>
      <c r="F65" s="374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05">
        <v>2</v>
      </c>
      <c r="N65" s="307"/>
      <c r="O65" s="7"/>
      <c r="P65" s="6"/>
      <c r="R65" s="6">
        <v>1</v>
      </c>
      <c r="S65" s="4">
        <v>1</v>
      </c>
      <c r="T65" s="7"/>
      <c r="U65" s="391">
        <v>2.5</v>
      </c>
      <c r="V65" s="373"/>
      <c r="W65" s="373">
        <v>0.2</v>
      </c>
      <c r="X65" s="373"/>
      <c r="Y65" s="373">
        <v>0</v>
      </c>
      <c r="Z65" s="390"/>
      <c r="AA65"/>
      <c r="AI65" s="243">
        <v>1</v>
      </c>
      <c r="AJ65" s="247">
        <f ca="1">IF(OR(AE112=CL81,AH112=CL81),AI65,0)</f>
        <v>0</v>
      </c>
      <c r="AK65" s="429">
        <v>5.4550000000000001</v>
      </c>
      <c r="AL65" s="389"/>
      <c r="AN65" s="201"/>
      <c r="AO65" s="203">
        <f ca="1">OFFSET(AO66,L57,0)</f>
        <v>1</v>
      </c>
      <c r="AP65" s="435" t="s">
        <v>290</v>
      </c>
      <c r="AQ65" s="436"/>
      <c r="AR65" s="436"/>
      <c r="AS65" s="436"/>
      <c r="AT65" s="436"/>
      <c r="AU65" s="436"/>
      <c r="AV65" s="437"/>
      <c r="AW65" s="177"/>
      <c r="AY65" s="413"/>
      <c r="AZ65" s="414"/>
      <c r="BA65" s="447"/>
      <c r="BB65" s="414"/>
      <c r="BC65" s="447"/>
      <c r="BD65" s="414"/>
      <c r="BE65" s="447"/>
      <c r="BF65" s="414"/>
      <c r="BN65"/>
      <c r="BP65" s="440">
        <f ca="1">IF(CL82=AW106,BP64-BV65,BP64)</f>
        <v>100</v>
      </c>
      <c r="BQ65" s="441"/>
      <c r="BR65" s="440">
        <f ca="1">IF(CL82=AW106,BR64+BV65,BR64)</f>
        <v>100</v>
      </c>
      <c r="BS65" s="442"/>
      <c r="BT65" s="404" t="s">
        <v>217</v>
      </c>
      <c r="BU65" s="405"/>
      <c r="BV65" s="512">
        <f ca="1">IF(J101&gt;0,0,(AH108/2)-E25)</f>
        <v>0</v>
      </c>
      <c r="BW65" s="513"/>
      <c r="BX65" s="147" t="s">
        <v>162</v>
      </c>
      <c r="CA65" s="177"/>
      <c r="CB65" s="308" t="s">
        <v>208</v>
      </c>
      <c r="CC65" s="308"/>
      <c r="CD65" s="308"/>
      <c r="CE65" s="450"/>
      <c r="CF65" s="449">
        <f t="shared" ca="1" si="4"/>
        <v>100</v>
      </c>
      <c r="CG65" s="306"/>
      <c r="CH65" s="306"/>
      <c r="CI65" s="306"/>
      <c r="CJ65" s="306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73" t="str">
        <f t="shared" ca="1" si="0"/>
        <v>CRS 28</v>
      </c>
      <c r="B66" s="373"/>
      <c r="C66" s="373"/>
      <c r="D66" s="373"/>
      <c r="E66" s="373"/>
      <c r="F66" s="374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05">
        <v>2</v>
      </c>
      <c r="N66" s="307"/>
      <c r="O66" s="7"/>
      <c r="P66" s="6"/>
      <c r="R66" s="6">
        <v>1</v>
      </c>
      <c r="S66" s="4">
        <v>1</v>
      </c>
      <c r="T66" s="7">
        <v>1</v>
      </c>
      <c r="U66" s="391">
        <v>2.8</v>
      </c>
      <c r="V66" s="373"/>
      <c r="W66" s="373">
        <v>0.2</v>
      </c>
      <c r="X66" s="373"/>
      <c r="Y66" s="373">
        <v>0</v>
      </c>
      <c r="Z66" s="390"/>
      <c r="AA66"/>
      <c r="AI66" s="243">
        <f>AI65+1</f>
        <v>2</v>
      </c>
      <c r="AJ66" s="254">
        <f ca="1">IF(OR(AE113=CL81,AH113=CL81),AI66,0)</f>
        <v>0</v>
      </c>
      <c r="AK66" s="449">
        <v>5.9290000000000003</v>
      </c>
      <c r="AL66" s="307"/>
      <c r="AN66" s="30">
        <v>0</v>
      </c>
      <c r="AO66" s="30">
        <f ca="1">IF(CL82=AW105,1,3)</f>
        <v>1</v>
      </c>
      <c r="AP66" s="404" t="s">
        <v>147</v>
      </c>
      <c r="AQ66" s="405"/>
      <c r="AR66" s="405"/>
      <c r="AS66" s="405"/>
      <c r="AT66" s="405"/>
      <c r="AU66" s="405"/>
      <c r="AV66" s="406"/>
      <c r="AW66" s="177"/>
      <c r="AY66" s="413"/>
      <c r="AZ66" s="414"/>
      <c r="BA66" s="447"/>
      <c r="BB66" s="414"/>
      <c r="BC66" s="447"/>
      <c r="BD66" s="414"/>
      <c r="BE66" s="447"/>
      <c r="BF66" s="414"/>
      <c r="BP66" s="440">
        <f ca="1">IF(CL82=AW105,BP65-W57-AJ89,BP65-W57)</f>
        <v>87.8</v>
      </c>
      <c r="BQ66" s="441"/>
      <c r="BR66" s="440">
        <f ca="1">BR65-AL89</f>
        <v>96</v>
      </c>
      <c r="BS66" s="442"/>
      <c r="BT66" s="438" t="s">
        <v>230</v>
      </c>
      <c r="BU66" s="439"/>
      <c r="BV66" s="439"/>
      <c r="BW66" s="439"/>
      <c r="BX66" s="439"/>
      <c r="BY66" s="439"/>
      <c r="BZ66" s="439"/>
      <c r="CA66" s="177"/>
      <c r="CB66" s="308" t="s">
        <v>209</v>
      </c>
      <c r="CC66" s="308"/>
      <c r="CD66" s="308"/>
      <c r="CE66" s="450"/>
      <c r="CF66" s="449" t="str">
        <f t="shared" ca="1" si="4"/>
        <v>Easywave</v>
      </c>
      <c r="CG66" s="306"/>
      <c r="CH66" s="306"/>
      <c r="CI66" s="306"/>
      <c r="CJ66" s="306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73" t="str">
        <f t="shared" ca="1" si="0"/>
        <v>KS</v>
      </c>
      <c r="B67" s="373"/>
      <c r="C67" s="373"/>
      <c r="D67" s="373"/>
      <c r="E67" s="373"/>
      <c r="F67" s="374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05">
        <v>5</v>
      </c>
      <c r="N67" s="307"/>
      <c r="O67" s="7"/>
      <c r="P67" s="6"/>
      <c r="R67" s="6">
        <v>1</v>
      </c>
      <c r="S67" s="4">
        <v>1</v>
      </c>
      <c r="T67" s="7"/>
      <c r="U67" s="391">
        <v>1.4</v>
      </c>
      <c r="V67" s="373"/>
      <c r="W67" s="373">
        <v>0.2</v>
      </c>
      <c r="X67" s="373"/>
      <c r="Y67" s="373">
        <v>0</v>
      </c>
      <c r="Z67" s="390"/>
      <c r="AA67"/>
      <c r="AI67" s="242">
        <f>AI66+1</f>
        <v>3</v>
      </c>
      <c r="AJ67" s="255">
        <f ca="1">IF(OR(AE114=CL81,AH114=CL81),AI67,0)</f>
        <v>3</v>
      </c>
      <c r="AK67" s="387">
        <v>7.9130000000000003</v>
      </c>
      <c r="AL67" s="386"/>
      <c r="AN67" s="196">
        <v>1</v>
      </c>
      <c r="AO67" s="196">
        <f ca="1">IF(CL83=AW109,IF(CL82=AW105,1,3),IF(CL82=AW105,5,7))</f>
        <v>1</v>
      </c>
      <c r="AP67" s="354" t="s">
        <v>287</v>
      </c>
      <c r="AQ67" s="355"/>
      <c r="AR67" s="355"/>
      <c r="AS67" s="355"/>
      <c r="AT67" s="355"/>
      <c r="AU67" s="355"/>
      <c r="AV67" s="360"/>
      <c r="AW67" s="177"/>
      <c r="AY67" s="413"/>
      <c r="AZ67" s="414"/>
      <c r="BA67" s="447"/>
      <c r="BB67" s="414"/>
      <c r="BC67" s="447"/>
      <c r="BD67" s="414"/>
      <c r="BE67" s="447"/>
      <c r="BF67" s="414"/>
      <c r="BP67" s="440">
        <f ca="1">BP66-BC69</f>
        <v>80.55</v>
      </c>
      <c r="BQ67" s="441"/>
      <c r="BR67" s="440">
        <f ca="1">BR66-BC69</f>
        <v>88.75</v>
      </c>
      <c r="BS67" s="442"/>
      <c r="BT67" s="352" t="s">
        <v>44</v>
      </c>
      <c r="BU67" s="352"/>
      <c r="BV67" s="352"/>
      <c r="BW67" s="352"/>
      <c r="BX67" s="352"/>
      <c r="BY67" s="352"/>
      <c r="BZ67" s="352"/>
      <c r="CA67" s="177"/>
      <c r="CB67" s="308" t="s">
        <v>210</v>
      </c>
      <c r="CC67" s="308"/>
      <c r="CD67" s="308"/>
      <c r="CE67" s="450"/>
      <c r="CF67" s="451" t="str">
        <f t="shared" ca="1" si="4"/>
        <v>8 cm (60%)</v>
      </c>
      <c r="CG67" s="452"/>
      <c r="CH67" s="452"/>
      <c r="CI67" s="452"/>
      <c r="CJ67" s="452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6" t="s">
        <v>115</v>
      </c>
      <c r="EU67" s="306"/>
      <c r="EV67" s="306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73" t="str">
        <f t="shared" ca="1" si="0"/>
        <v>KS Recess</v>
      </c>
      <c r="B68" s="373"/>
      <c r="C68" s="373"/>
      <c r="D68" s="373"/>
      <c r="E68" s="373"/>
      <c r="F68" s="374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05">
        <v>5</v>
      </c>
      <c r="N68" s="307"/>
      <c r="O68" s="7"/>
      <c r="P68" s="6"/>
      <c r="R68" s="6">
        <v>1</v>
      </c>
      <c r="S68" s="4">
        <v>1</v>
      </c>
      <c r="T68" s="7"/>
      <c r="U68" s="391">
        <v>0</v>
      </c>
      <c r="V68" s="373"/>
      <c r="W68" s="373">
        <v>0</v>
      </c>
      <c r="X68" s="373"/>
      <c r="Y68" s="373">
        <v>0</v>
      </c>
      <c r="Z68" s="390"/>
      <c r="AA68"/>
      <c r="AS68"/>
      <c r="AT68"/>
      <c r="AU68"/>
      <c r="AV68" s="177"/>
      <c r="AW68" s="177"/>
      <c r="AY68" s="415"/>
      <c r="AZ68" s="416"/>
      <c r="BA68" s="448"/>
      <c r="BB68" s="416"/>
      <c r="BC68" s="448"/>
      <c r="BD68" s="416"/>
      <c r="BE68" s="448"/>
      <c r="BF68" s="416"/>
      <c r="BN68" s="148"/>
      <c r="BP68" s="440">
        <f ca="1">BP67/AK64</f>
        <v>10.179451535447996</v>
      </c>
      <c r="BQ68" s="441"/>
      <c r="BR68" s="440">
        <f ca="1">BR67/AK64</f>
        <v>11.215720965499811</v>
      </c>
      <c r="BS68" s="442"/>
      <c r="BT68" s="490" t="s">
        <v>227</v>
      </c>
      <c r="BU68" s="352"/>
      <c r="BV68" s="352"/>
      <c r="BW68" s="352"/>
      <c r="BX68" s="352"/>
      <c r="BY68" s="352"/>
      <c r="BZ68" s="352"/>
      <c r="CA68" s="177"/>
      <c r="CB68" s="308" t="s">
        <v>211</v>
      </c>
      <c r="CC68" s="308"/>
      <c r="CD68" s="308"/>
      <c r="CE68" s="450"/>
      <c r="CF68" s="449" t="str">
        <f t="shared" ca="1" si="4"/>
        <v>One-way draw</v>
      </c>
      <c r="CG68" s="306"/>
      <c r="CH68" s="306"/>
      <c r="CI68" s="306"/>
      <c r="CJ68" s="306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485" t="s">
        <v>116</v>
      </c>
      <c r="EU68" s="485"/>
      <c r="EV68" s="485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73" t="str">
        <f t="shared" ca="1" si="0"/>
        <v>CS</v>
      </c>
      <c r="B69" s="373"/>
      <c r="C69" s="373"/>
      <c r="D69" s="373"/>
      <c r="E69" s="373"/>
      <c r="F69" s="374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05">
        <v>1</v>
      </c>
      <c r="N69" s="307"/>
      <c r="O69" s="7"/>
      <c r="P69" s="6"/>
      <c r="R69" s="6">
        <v>1</v>
      </c>
      <c r="S69" s="4">
        <v>1</v>
      </c>
      <c r="T69" s="7">
        <v>1</v>
      </c>
      <c r="U69" s="391">
        <v>1.2</v>
      </c>
      <c r="V69" s="373"/>
      <c r="W69" s="373">
        <v>0.2</v>
      </c>
      <c r="X69" s="373"/>
      <c r="Y69" s="373">
        <v>0</v>
      </c>
      <c r="Z69" s="390"/>
      <c r="AA69"/>
      <c r="AI69" s="419" t="s">
        <v>326</v>
      </c>
      <c r="AJ69" s="420"/>
      <c r="AK69" s="420"/>
      <c r="AL69" s="421"/>
      <c r="AS69"/>
      <c r="AT69"/>
      <c r="AU69"/>
      <c r="AX69" s="176" t="s">
        <v>31</v>
      </c>
      <c r="AY69" s="427">
        <f ca="1">OFFSET(AY70,$AK$76,0,1,1)</f>
        <v>7.9</v>
      </c>
      <c r="AZ69" s="428"/>
      <c r="BA69" s="427">
        <f ca="1">OFFSET(BA70,$AK$76,0,1,1)</f>
        <v>7.6</v>
      </c>
      <c r="BB69" s="428"/>
      <c r="BC69" s="427">
        <f ca="1">OFFSET(BC70,$AK$76,0,1,1)</f>
        <v>7.25</v>
      </c>
      <c r="BD69" s="428"/>
      <c r="BE69" s="427">
        <f ca="1">OFFSET(BE70,$AK$76,0,1,1)</f>
        <v>1</v>
      </c>
      <c r="BF69" s="428"/>
      <c r="BG69" s="419" t="s">
        <v>276</v>
      </c>
      <c r="BH69" s="420"/>
      <c r="BI69" s="420"/>
      <c r="BJ69" s="420"/>
      <c r="BK69" s="420"/>
      <c r="BL69" s="420"/>
      <c r="BM69" s="421"/>
      <c r="BN69" s="148"/>
      <c r="BP69" s="440">
        <f ca="1">BP68+1</f>
        <v>11.179451535447996</v>
      </c>
      <c r="BQ69" s="441"/>
      <c r="BR69" s="440">
        <f ca="1">BR68+1</f>
        <v>12.215720965499811</v>
      </c>
      <c r="BS69" s="442"/>
      <c r="BT69" s="490" t="s">
        <v>85</v>
      </c>
      <c r="BU69" s="352"/>
      <c r="BV69" s="352"/>
      <c r="BW69" s="352"/>
      <c r="BX69" s="352"/>
      <c r="BY69" s="352"/>
      <c r="BZ69" s="352"/>
      <c r="CB69" s="308" t="s">
        <v>212</v>
      </c>
      <c r="CC69" s="308"/>
      <c r="CD69" s="308"/>
      <c r="CE69" s="450"/>
      <c r="CF69" s="451" t="str">
        <f t="shared" ca="1" si="4"/>
        <v>Steel</v>
      </c>
      <c r="CG69" s="452"/>
      <c r="CH69" s="452"/>
      <c r="CI69" s="452"/>
      <c r="CJ69" s="452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485"/>
      <c r="EU69" s="485"/>
      <c r="EV69" s="485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73" t="str">
        <f t="shared" ca="1" si="0"/>
        <v>DS</v>
      </c>
      <c r="B70" s="373"/>
      <c r="C70" s="373"/>
      <c r="D70" s="373"/>
      <c r="E70" s="373"/>
      <c r="F70" s="374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05">
        <v>5</v>
      </c>
      <c r="N70" s="307"/>
      <c r="O70" s="7"/>
      <c r="P70" s="6"/>
      <c r="R70" s="6">
        <v>1</v>
      </c>
      <c r="S70" s="4">
        <v>1</v>
      </c>
      <c r="T70" s="7"/>
      <c r="U70" s="391">
        <v>1.4</v>
      </c>
      <c r="V70" s="373"/>
      <c r="W70" s="373">
        <v>0.2</v>
      </c>
      <c r="X70" s="373"/>
      <c r="Y70" s="373">
        <v>0</v>
      </c>
      <c r="Z70" s="390"/>
      <c r="AA70" s="24"/>
      <c r="AI70" s="246">
        <f ca="1">IF(AL89=W57,0,1)</f>
        <v>1</v>
      </c>
      <c r="AJ70" s="422" t="s">
        <v>327</v>
      </c>
      <c r="AK70" s="422"/>
      <c r="AL70" s="422"/>
      <c r="AS70"/>
      <c r="AT70"/>
      <c r="AU70"/>
      <c r="AX70" s="181">
        <v>0</v>
      </c>
      <c r="AY70" s="388">
        <v>0</v>
      </c>
      <c r="AZ70" s="389"/>
      <c r="BA70" s="388">
        <v>0</v>
      </c>
      <c r="BB70" s="389"/>
      <c r="BC70" s="388">
        <v>0</v>
      </c>
      <c r="BD70" s="389"/>
      <c r="BE70" s="388">
        <v>0</v>
      </c>
      <c r="BF70" s="389"/>
      <c r="BG70" s="510" t="s">
        <v>263</v>
      </c>
      <c r="BH70" s="510"/>
      <c r="BI70" s="510"/>
      <c r="BJ70" s="510"/>
      <c r="BK70" s="510"/>
      <c r="BL70" s="510"/>
      <c r="BM70" s="511"/>
      <c r="BN70" s="148"/>
      <c r="BP70" s="440">
        <f ca="1">ROUNDUP(BP69,0)</f>
        <v>12</v>
      </c>
      <c r="BQ70" s="441"/>
      <c r="BR70" s="440">
        <f ca="1">ROUNDUP(BR69,0)</f>
        <v>13</v>
      </c>
      <c r="BS70" s="442"/>
      <c r="BT70" s="352" t="s">
        <v>228</v>
      </c>
      <c r="BU70" s="352"/>
      <c r="BV70" s="352"/>
      <c r="BW70" s="352"/>
      <c r="BX70" s="352"/>
      <c r="BY70" s="352"/>
      <c r="BZ70" s="352"/>
      <c r="CB70" s="453" t="s">
        <v>213</v>
      </c>
      <c r="CC70" s="453"/>
      <c r="CD70" s="453"/>
      <c r="CE70" s="454"/>
      <c r="CF70" s="449">
        <f t="shared" ca="1" si="4"/>
        <v>0</v>
      </c>
      <c r="CG70" s="306"/>
      <c r="CH70" s="306"/>
      <c r="CI70" s="306"/>
      <c r="CJ70" s="306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485"/>
      <c r="EU70" s="485"/>
      <c r="EV70" s="485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73" t="str">
        <f t="shared" ca="1" si="0"/>
        <v>DS-XL</v>
      </c>
      <c r="B71" s="373"/>
      <c r="C71" s="373"/>
      <c r="D71" s="373"/>
      <c r="E71" s="373"/>
      <c r="F71" s="374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05">
        <v>3</v>
      </c>
      <c r="N71" s="307"/>
      <c r="O71" s="7"/>
      <c r="P71" s="6"/>
      <c r="R71" s="6">
        <v>1</v>
      </c>
      <c r="S71" s="4">
        <v>1</v>
      </c>
      <c r="T71" s="7"/>
      <c r="U71" s="391">
        <v>1.3</v>
      </c>
      <c r="V71" s="373"/>
      <c r="W71" s="373">
        <v>0.4</v>
      </c>
      <c r="X71" s="373"/>
      <c r="Y71" s="373">
        <v>0</v>
      </c>
      <c r="Z71" s="390"/>
      <c r="AA71" s="24"/>
      <c r="AI71"/>
      <c r="AJ71"/>
      <c r="AK71"/>
      <c r="AS71"/>
      <c r="AT71"/>
      <c r="AU71"/>
      <c r="AX71" s="182">
        <v>1</v>
      </c>
      <c r="AY71" s="333">
        <v>7.9</v>
      </c>
      <c r="AZ71" s="334"/>
      <c r="BA71" s="333">
        <v>7.6</v>
      </c>
      <c r="BB71" s="334"/>
      <c r="BC71" s="333">
        <v>7.25</v>
      </c>
      <c r="BD71" s="334"/>
      <c r="BE71" s="333">
        <v>1</v>
      </c>
      <c r="BF71" s="334"/>
      <c r="BG71" s="504" t="s">
        <v>259</v>
      </c>
      <c r="BH71" s="504"/>
      <c r="BI71" s="504"/>
      <c r="BJ71" s="504"/>
      <c r="BK71" s="504"/>
      <c r="BL71" s="504"/>
      <c r="BM71" s="505"/>
      <c r="BN71" s="148"/>
      <c r="BP71" s="440">
        <f ca="1">IF(AI73=1,IF(ISEVEN(BP70),BP70,BP70+1),IF(ISEVEN(BP70),BP70+1,BP70))</f>
        <v>12</v>
      </c>
      <c r="BQ71" s="441"/>
      <c r="BR71" s="440">
        <f ca="1">IF(AI74=1,IF(ISEVEN(BR70),BR70,BR70+1),IF(ISEVEN(BR70),BR70+1,BR70))</f>
        <v>14</v>
      </c>
      <c r="BS71" s="442"/>
      <c r="BT71" s="491" t="s">
        <v>218</v>
      </c>
      <c r="BU71" s="492"/>
      <c r="BV71" s="492"/>
      <c r="BW71" s="492"/>
      <c r="BX71" s="492"/>
      <c r="BY71" s="492"/>
      <c r="BZ71" s="492"/>
      <c r="CB71" s="453" t="s">
        <v>214</v>
      </c>
      <c r="CC71" s="453"/>
      <c r="CD71" s="453"/>
      <c r="CE71" s="454"/>
      <c r="CF71" s="449">
        <f t="shared" ca="1" si="4"/>
        <v>0</v>
      </c>
      <c r="CG71" s="306"/>
      <c r="CH71" s="306"/>
      <c r="CI71" s="306"/>
      <c r="CJ71" s="306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485"/>
      <c r="EU71" s="485"/>
      <c r="EV71" s="485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73" t="str">
        <f t="shared" ca="1" si="0"/>
        <v>DS-XL Motorised</v>
      </c>
      <c r="B72" s="373"/>
      <c r="C72" s="373"/>
      <c r="D72" s="373"/>
      <c r="E72" s="373"/>
      <c r="F72" s="374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91">
        <v>6.5</v>
      </c>
      <c r="V72" s="373"/>
      <c r="W72" s="373">
        <v>6.5</v>
      </c>
      <c r="X72" s="373"/>
      <c r="Y72" s="373">
        <v>1</v>
      </c>
      <c r="Z72" s="390"/>
      <c r="AA72"/>
      <c r="AI72" s="419" t="s">
        <v>307</v>
      </c>
      <c r="AJ72" s="420"/>
      <c r="AK72" s="420"/>
      <c r="AL72" s="421"/>
      <c r="AS72"/>
      <c r="AT72"/>
      <c r="AU72"/>
      <c r="AX72" s="182">
        <v>2</v>
      </c>
      <c r="AY72" s="425">
        <v>2.9</v>
      </c>
      <c r="AZ72" s="426"/>
      <c r="BA72" s="425">
        <v>2.08</v>
      </c>
      <c r="BB72" s="426"/>
      <c r="BC72" s="425">
        <v>-1</v>
      </c>
      <c r="BD72" s="426"/>
      <c r="BE72" s="425">
        <v>0</v>
      </c>
      <c r="BF72" s="426"/>
      <c r="BG72" s="471" t="s">
        <v>260</v>
      </c>
      <c r="BH72" s="471"/>
      <c r="BI72" s="471"/>
      <c r="BJ72" s="471"/>
      <c r="BK72" s="471"/>
      <c r="BL72" s="471"/>
      <c r="BM72" s="472"/>
      <c r="BN72"/>
      <c r="BP72" s="461">
        <f ca="1">IF(AI70=1,BR72,BP71)</f>
        <v>14</v>
      </c>
      <c r="BQ72" s="462"/>
      <c r="BR72" s="461">
        <f ca="1">BR71</f>
        <v>14</v>
      </c>
      <c r="BS72" s="464"/>
      <c r="BT72" s="491" t="s">
        <v>219</v>
      </c>
      <c r="BU72" s="492"/>
      <c r="BV72" s="492"/>
      <c r="BW72" s="492"/>
      <c r="BX72" s="492"/>
      <c r="BY72" s="492"/>
      <c r="BZ72" s="492"/>
      <c r="CB72" s="308" t="s">
        <v>215</v>
      </c>
      <c r="CC72" s="308"/>
      <c r="CD72" s="308"/>
      <c r="CE72" s="450"/>
      <c r="CF72" s="455">
        <f t="shared" ca="1" si="4"/>
        <v>0</v>
      </c>
      <c r="CG72" s="456"/>
      <c r="CH72" s="456"/>
      <c r="CI72" s="456"/>
      <c r="CJ72" s="456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485"/>
      <c r="EU72" s="485"/>
      <c r="EV72" s="485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73" t="str">
        <f t="shared" ca="1" si="0"/>
        <v>DS-XL Corded</v>
      </c>
      <c r="B73" s="373"/>
      <c r="C73" s="373"/>
      <c r="D73" s="373"/>
      <c r="E73" s="373"/>
      <c r="F73" s="374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05">
        <v>3</v>
      </c>
      <c r="N73" s="307"/>
      <c r="O73" s="7"/>
      <c r="P73" s="6"/>
      <c r="Q73" s="4">
        <v>3</v>
      </c>
      <c r="R73" s="6">
        <v>1</v>
      </c>
      <c r="S73" s="4">
        <v>1</v>
      </c>
      <c r="T73" s="7"/>
      <c r="U73" s="391">
        <v>1.2</v>
      </c>
      <c r="V73" s="373"/>
      <c r="W73" s="373">
        <v>1.2</v>
      </c>
      <c r="X73" s="373"/>
      <c r="Y73" s="373">
        <v>0</v>
      </c>
      <c r="Z73" s="390"/>
      <c r="AA73" s="24"/>
      <c r="AI73" s="233">
        <f ca="1">IF(_xlfn.XOR(Y57,BE69)=FALSE,1,0)</f>
        <v>1</v>
      </c>
      <c r="AJ73" s="643" t="s">
        <v>309</v>
      </c>
      <c r="AK73" s="643"/>
      <c r="AL73" s="643"/>
      <c r="AS73"/>
      <c r="AT73"/>
      <c r="AU73"/>
      <c r="AX73" s="182">
        <v>3</v>
      </c>
      <c r="AY73" s="333">
        <v>4.2</v>
      </c>
      <c r="AZ73" s="334"/>
      <c r="BA73" s="333">
        <v>3.35</v>
      </c>
      <c r="BB73" s="334"/>
      <c r="BC73" s="333">
        <v>2.5</v>
      </c>
      <c r="BD73" s="334"/>
      <c r="BE73" s="333">
        <v>0</v>
      </c>
      <c r="BF73" s="334"/>
      <c r="BG73" s="504" t="s">
        <v>261</v>
      </c>
      <c r="BH73" s="504"/>
      <c r="BI73" s="504"/>
      <c r="BJ73" s="504"/>
      <c r="BK73" s="504"/>
      <c r="BL73" s="504"/>
      <c r="BM73" s="505"/>
      <c r="BP73" s="459"/>
      <c r="BQ73" s="463"/>
      <c r="BR73" s="459"/>
      <c r="BS73" s="460"/>
      <c r="BT73" s="491"/>
      <c r="BU73" s="492"/>
      <c r="BV73" s="492"/>
      <c r="BW73" s="492"/>
      <c r="BX73" s="492"/>
      <c r="BY73" s="492"/>
      <c r="BZ73" s="492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485"/>
      <c r="EU73" s="485"/>
      <c r="EV73" s="485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73" t="str">
        <f t="shared" ca="1" si="0"/>
        <v>DS-XL LED</v>
      </c>
      <c r="B74" s="373"/>
      <c r="C74" s="373"/>
      <c r="D74" s="373"/>
      <c r="E74" s="373"/>
      <c r="F74" s="374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05">
        <v>4</v>
      </c>
      <c r="N74" s="307"/>
      <c r="O74" s="7"/>
      <c r="P74" s="6"/>
      <c r="R74" s="6">
        <v>1</v>
      </c>
      <c r="S74" s="4">
        <v>1</v>
      </c>
      <c r="T74" s="7"/>
      <c r="U74" s="391">
        <v>1.2</v>
      </c>
      <c r="V74" s="373"/>
      <c r="W74" s="373">
        <v>1.2</v>
      </c>
      <c r="X74" s="373"/>
      <c r="Y74" s="373">
        <v>0</v>
      </c>
      <c r="Z74" s="390"/>
      <c r="AA74"/>
      <c r="AI74" s="234">
        <f ca="1">IF(_xlfn.XOR(AN89,BE69)=FALSE,1,0)</f>
        <v>1</v>
      </c>
      <c r="AJ74" s="644" t="s">
        <v>308</v>
      </c>
      <c r="AK74" s="644"/>
      <c r="AL74" s="644"/>
      <c r="AS74"/>
      <c r="AT74"/>
      <c r="AU74"/>
      <c r="AX74" s="182">
        <v>4</v>
      </c>
      <c r="AY74" s="425">
        <v>8.35</v>
      </c>
      <c r="AZ74" s="426"/>
      <c r="BA74" s="425">
        <v>3.35</v>
      </c>
      <c r="BB74" s="426"/>
      <c r="BC74" s="425">
        <v>6.66</v>
      </c>
      <c r="BD74" s="426"/>
      <c r="BE74" s="425">
        <v>1</v>
      </c>
      <c r="BF74" s="426"/>
      <c r="BG74" s="471" t="s">
        <v>262</v>
      </c>
      <c r="BH74" s="471"/>
      <c r="BI74" s="471"/>
      <c r="BJ74" s="471"/>
      <c r="BK74" s="471"/>
      <c r="BL74" s="471"/>
      <c r="BM74" s="472"/>
      <c r="BP74" s="461">
        <f ca="1">BP72+Y57+BE69</f>
        <v>16</v>
      </c>
      <c r="BQ74" s="464"/>
      <c r="BR74" s="457">
        <f ca="1">BR71+AN89+BE69</f>
        <v>16</v>
      </c>
      <c r="BS74" s="458"/>
      <c r="BT74" s="488" t="s">
        <v>220</v>
      </c>
      <c r="BU74" s="489"/>
      <c r="BV74" s="489"/>
      <c r="BW74" s="489"/>
      <c r="BX74" s="489"/>
      <c r="BY74" s="489"/>
      <c r="BZ74" s="489"/>
      <c r="CH74" s="638" t="s">
        <v>367</v>
      </c>
      <c r="CI74" s="638"/>
      <c r="CJ74" s="638"/>
      <c r="CK74" s="638"/>
      <c r="CL74" s="638"/>
      <c r="CM74" s="638"/>
      <c r="CN74" s="638"/>
      <c r="CO74" s="638"/>
      <c r="CP74" s="638"/>
      <c r="CQ74" s="63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485"/>
      <c r="EU74" s="485"/>
      <c r="EV74" s="485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73" t="str">
        <f t="shared" ca="1" si="0"/>
        <v>DS-XL LED Motorised</v>
      </c>
      <c r="B75" s="373"/>
      <c r="C75" s="373"/>
      <c r="D75" s="373"/>
      <c r="E75" s="373"/>
      <c r="F75" s="374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05">
        <v>4</v>
      </c>
      <c r="N75" s="307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91">
        <v>6.5</v>
      </c>
      <c r="V75" s="373"/>
      <c r="W75" s="373">
        <v>6.5</v>
      </c>
      <c r="X75" s="373"/>
      <c r="Y75" s="373">
        <v>1</v>
      </c>
      <c r="Z75" s="390"/>
      <c r="AA75"/>
      <c r="AJ75"/>
      <c r="AS75"/>
      <c r="AT75"/>
      <c r="AU75"/>
      <c r="AX75" s="183">
        <v>5</v>
      </c>
      <c r="AY75" s="329">
        <v>1.5</v>
      </c>
      <c r="AZ75" s="386"/>
      <c r="BA75" s="329">
        <v>1.5</v>
      </c>
      <c r="BB75" s="386"/>
      <c r="BC75" s="514">
        <f>E25/2</f>
        <v>0</v>
      </c>
      <c r="BD75" s="515"/>
      <c r="BE75" s="329">
        <v>0</v>
      </c>
      <c r="BF75" s="386"/>
      <c r="BG75" s="465" t="s">
        <v>264</v>
      </c>
      <c r="BH75" s="465"/>
      <c r="BI75" s="465"/>
      <c r="BJ75" s="465"/>
      <c r="BK75" s="465"/>
      <c r="BL75" s="465"/>
      <c r="BM75" s="466"/>
      <c r="BP75" s="459"/>
      <c r="BQ75" s="460"/>
      <c r="BR75" s="459"/>
      <c r="BS75" s="460"/>
      <c r="BT75" s="488"/>
      <c r="BU75" s="489"/>
      <c r="BV75" s="489"/>
      <c r="BW75" s="489"/>
      <c r="BX75" s="489"/>
      <c r="BY75" s="489"/>
      <c r="BZ75" s="489"/>
      <c r="CA75" s="184"/>
      <c r="CH75" s="639"/>
      <c r="CI75" s="639"/>
      <c r="CJ75" s="639"/>
      <c r="CK75" s="639"/>
      <c r="CL75" s="639"/>
      <c r="CM75" s="639"/>
      <c r="CN75" s="639"/>
      <c r="CO75" s="639"/>
      <c r="CP75" s="639"/>
      <c r="CQ75" s="639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485"/>
      <c r="EU75" s="485"/>
      <c r="EV75" s="485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73" t="str">
        <f t="shared" ca="1" si="0"/>
        <v>FMS Dual</v>
      </c>
      <c r="B76" s="373"/>
      <c r="C76" s="373"/>
      <c r="D76" s="373"/>
      <c r="E76" s="373"/>
      <c r="F76" s="374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05">
        <v>5</v>
      </c>
      <c r="N76" s="307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91">
        <v>8.5</v>
      </c>
      <c r="V76" s="373"/>
      <c r="W76" s="373">
        <v>8.5</v>
      </c>
      <c r="X76" s="373"/>
      <c r="Y76" s="373">
        <v>0</v>
      </c>
      <c r="Z76" s="390"/>
      <c r="AA76" s="174"/>
      <c r="AI76" s="419" t="s">
        <v>31</v>
      </c>
      <c r="AJ76" s="421"/>
      <c r="AK76" s="506">
        <f ca="1">OFFSET(AK77,Q57,0,1,1)</f>
        <v>1</v>
      </c>
      <c r="AL76" s="507"/>
      <c r="AM76" s="501" t="s">
        <v>274</v>
      </c>
      <c r="AN76" s="501"/>
      <c r="AO76" s="501"/>
      <c r="AP76" s="501"/>
      <c r="AQ76" s="501"/>
      <c r="AR76" s="501"/>
      <c r="AS76" s="502"/>
      <c r="AT76"/>
      <c r="AU76"/>
      <c r="AV76"/>
      <c r="AW76"/>
      <c r="BW76"/>
      <c r="BX76"/>
      <c r="CA76" s="184"/>
      <c r="CB76"/>
      <c r="CH76" s="392" t="s">
        <v>368</v>
      </c>
      <c r="CI76" s="392"/>
      <c r="CJ76" s="640"/>
      <c r="CK76" s="272">
        <v>2</v>
      </c>
      <c r="CL76" s="392"/>
      <c r="CM76" s="392"/>
      <c r="CN76" s="392"/>
      <c r="CO76" s="392" t="s">
        <v>366</v>
      </c>
      <c r="CP76" s="392"/>
      <c r="CQ76" s="392"/>
      <c r="CR76" s="392" t="s">
        <v>365</v>
      </c>
      <c r="CS76" s="392"/>
      <c r="CT76" s="392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485"/>
      <c r="EU76" s="485"/>
      <c r="EV76" s="485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73" t="str">
        <f t="shared" ca="1" si="0"/>
        <v>MRS Universal</v>
      </c>
      <c r="B77" s="373"/>
      <c r="C77" s="373"/>
      <c r="D77" s="373"/>
      <c r="E77" s="373"/>
      <c r="F77" s="374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05">
        <v>4</v>
      </c>
      <c r="N77" s="307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91">
        <v>0</v>
      </c>
      <c r="V77" s="373"/>
      <c r="W77" s="373">
        <v>0</v>
      </c>
      <c r="X77" s="373"/>
      <c r="Y77" s="373">
        <v>0</v>
      </c>
      <c r="Z77" s="390"/>
      <c r="AA77"/>
      <c r="AI77" s="423">
        <v>0</v>
      </c>
      <c r="AJ77" s="424"/>
      <c r="AK77" s="467">
        <v>0</v>
      </c>
      <c r="AL77" s="468"/>
      <c r="AM77" s="469" t="s">
        <v>271</v>
      </c>
      <c r="AN77" s="469"/>
      <c r="AO77" s="469"/>
      <c r="AP77" s="469"/>
      <c r="AQ77" s="469"/>
      <c r="AR77" s="469"/>
      <c r="AS77" s="470"/>
      <c r="AT77"/>
      <c r="AU77"/>
      <c r="BA77" s="473" t="s">
        <v>321</v>
      </c>
      <c r="BB77" s="474"/>
      <c r="BC77" s="473" t="s">
        <v>322</v>
      </c>
      <c r="BD77" s="474"/>
      <c r="BE77" s="473" t="s">
        <v>323</v>
      </c>
      <c r="BF77" s="474"/>
      <c r="BP77" s="461">
        <f ca="1">IF(AK105=AW107,E27*BP74,ROUNDUP((E27*BP74)/AH104,0))</f>
        <v>256</v>
      </c>
      <c r="BQ77" s="464"/>
      <c r="BR77" s="499">
        <f ca="1">IF(AK105=AW107,E27*BR74,ROUNDUP((E27*BR74)/AH104,0))</f>
        <v>256</v>
      </c>
      <c r="BS77" s="464"/>
      <c r="BT77" s="488" t="s">
        <v>221</v>
      </c>
      <c r="BU77" s="489"/>
      <c r="BV77" s="489"/>
      <c r="BW77" s="489"/>
      <c r="BX77" s="489"/>
      <c r="BY77" s="489"/>
      <c r="BZ77" s="489"/>
      <c r="CH77" s="306" t="s">
        <v>364</v>
      </c>
      <c r="CI77" s="306"/>
      <c r="CJ77" s="306"/>
      <c r="CK77" s="382"/>
      <c r="CL77" s="12" t="str" cm="1">
        <f t="array" aca="1" ref="CL77:CL86" ca="1">OFFSET(CL77:CN86,0,CK76*3,10,1)</f>
        <v>English</v>
      </c>
      <c r="CO77" s="449" t="str">
        <f>A2</f>
        <v>English</v>
      </c>
      <c r="CP77" s="306"/>
      <c r="CQ77" s="306"/>
      <c r="CR77" s="306" t="str">
        <f>'Forest FES-Wave Mobile'!A2</f>
        <v>English</v>
      </c>
      <c r="CS77" s="306"/>
      <c r="CT77" s="306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485"/>
      <c r="EU77" s="485"/>
      <c r="EV77" s="485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73" t="str">
        <f t="shared" ca="1" si="0"/>
        <v>CS Recess</v>
      </c>
      <c r="B78" s="373"/>
      <c r="C78" s="373"/>
      <c r="D78" s="373"/>
      <c r="E78" s="373"/>
      <c r="F78" s="374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05">
        <v>5</v>
      </c>
      <c r="N78" s="307"/>
      <c r="O78" s="7"/>
      <c r="P78" s="6"/>
      <c r="R78" s="6">
        <v>1</v>
      </c>
      <c r="S78" s="4">
        <v>1</v>
      </c>
      <c r="T78" s="7">
        <v>1</v>
      </c>
      <c r="U78" s="391">
        <v>3</v>
      </c>
      <c r="V78" s="373"/>
      <c r="W78" s="373">
        <v>3</v>
      </c>
      <c r="X78" s="373"/>
      <c r="Y78" s="373">
        <v>0</v>
      </c>
      <c r="Z78" s="390"/>
      <c r="AA78"/>
      <c r="AI78" s="467">
        <v>1</v>
      </c>
      <c r="AJ78" s="468"/>
      <c r="AK78" s="467">
        <f ca="1">IF(CL83=AW109,1,2)</f>
        <v>1</v>
      </c>
      <c r="AL78" s="468"/>
      <c r="AM78" s="405" t="s">
        <v>273</v>
      </c>
      <c r="AN78" s="405"/>
      <c r="AO78" s="405"/>
      <c r="AP78" s="405"/>
      <c r="AQ78" s="405"/>
      <c r="AR78" s="405"/>
      <c r="AS78" s="406"/>
      <c r="AT78"/>
      <c r="AU78"/>
      <c r="AW78" s="419" t="s">
        <v>43</v>
      </c>
      <c r="AX78" s="421"/>
      <c r="AY78" s="506">
        <f ca="1">SUM(AY79:AZ81)</f>
        <v>1.05</v>
      </c>
      <c r="AZ78" s="507"/>
      <c r="BA78" s="506">
        <f ca="1">IF(SUM(BA79:BA81)&gt;0,1,0)</f>
        <v>1</v>
      </c>
      <c r="BB78" s="507"/>
      <c r="BC78" s="506">
        <f ca="1">IF(SUM(BC79:BC81)&gt;0,1,0)</f>
        <v>1</v>
      </c>
      <c r="BD78" s="507"/>
      <c r="BE78" s="506">
        <f ca="1">IF(SUM(BE79:BE81)&gt;0,1,0)</f>
        <v>1</v>
      </c>
      <c r="BF78" s="507"/>
      <c r="BG78" s="501" t="s">
        <v>229</v>
      </c>
      <c r="BH78" s="501"/>
      <c r="BI78" s="501"/>
      <c r="BJ78" s="501"/>
      <c r="BK78" s="501"/>
      <c r="BL78" s="501"/>
      <c r="BM78" s="502"/>
      <c r="BP78" s="459"/>
      <c r="BQ78" s="460"/>
      <c r="BR78" s="459"/>
      <c r="BS78" s="460"/>
      <c r="BT78" s="488"/>
      <c r="BU78" s="489"/>
      <c r="BV78" s="489"/>
      <c r="BW78" s="489"/>
      <c r="BX78" s="489"/>
      <c r="BY78" s="489"/>
      <c r="BZ78" s="489"/>
      <c r="CH78" s="306" t="s">
        <v>364</v>
      </c>
      <c r="CI78" s="306"/>
      <c r="CJ78" s="306"/>
      <c r="CK78" s="382"/>
      <c r="CL78" s="12" t="str">
        <f ca="1"/>
        <v>FMS (Shuttle)</v>
      </c>
      <c r="CO78" s="449" t="str">
        <f>E11</f>
        <v>FMS (Shuttle)</v>
      </c>
      <c r="CP78" s="306"/>
      <c r="CQ78" s="306"/>
      <c r="CR78" s="306" t="str">
        <f>'Forest FES-Wave Mobile'!D8</f>
        <v>FMS (Shuttle)</v>
      </c>
      <c r="CS78" s="306"/>
      <c r="CT78" s="306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485"/>
      <c r="EU78" s="485"/>
      <c r="EV78" s="485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73" t="str">
        <f t="shared" ca="1" si="0"/>
        <v>CRS Square 30</v>
      </c>
      <c r="B79" s="373"/>
      <c r="C79" s="373"/>
      <c r="D79" s="373"/>
      <c r="E79" s="373"/>
      <c r="F79" s="373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05">
        <v>4</v>
      </c>
      <c r="N79" s="307"/>
      <c r="O79" s="7"/>
      <c r="P79" s="6"/>
      <c r="R79" s="6">
        <v>1</v>
      </c>
      <c r="S79" s="4">
        <v>1</v>
      </c>
      <c r="T79" s="7">
        <v>1</v>
      </c>
      <c r="U79" s="391">
        <v>1.57</v>
      </c>
      <c r="V79" s="373"/>
      <c r="W79" s="373">
        <v>0.5</v>
      </c>
      <c r="X79" s="373"/>
      <c r="Y79" s="373">
        <v>0</v>
      </c>
      <c r="Z79" s="390"/>
      <c r="AA79"/>
      <c r="AI79" s="467">
        <v>2</v>
      </c>
      <c r="AJ79" s="468"/>
      <c r="AK79" s="467">
        <f ca="1">IF(CL82=$AW$106,3,4)</f>
        <v>4</v>
      </c>
      <c r="AL79" s="468"/>
      <c r="AM79" s="405" t="s">
        <v>272</v>
      </c>
      <c r="AN79" s="405"/>
      <c r="AO79" s="405"/>
      <c r="AP79" s="405"/>
      <c r="AQ79" s="405"/>
      <c r="AR79" s="405"/>
      <c r="AS79" s="406"/>
      <c r="AT79"/>
      <c r="AU79"/>
      <c r="AV79" s="4" t="s">
        <v>39</v>
      </c>
      <c r="AW79" s="305">
        <v>1.05</v>
      </c>
      <c r="AX79" s="307"/>
      <c r="AY79" s="508">
        <f ca="1">IF(CL80=AW100,AW79,0)</f>
        <v>1.05</v>
      </c>
      <c r="AZ79" s="509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03" t="s">
        <v>223</v>
      </c>
      <c r="BH79" s="469"/>
      <c r="BI79" s="469"/>
      <c r="BJ79" s="469"/>
      <c r="BK79" s="469"/>
      <c r="BL79" s="469"/>
      <c r="BM79" s="470"/>
      <c r="CH79" s="306" t="s">
        <v>369</v>
      </c>
      <c r="CI79" s="306"/>
      <c r="CJ79" s="306"/>
      <c r="CK79" s="382"/>
      <c r="CL79" s="12">
        <f ca="1"/>
        <v>100</v>
      </c>
      <c r="CO79" s="449">
        <f>E13</f>
        <v>100</v>
      </c>
      <c r="CP79" s="306"/>
      <c r="CQ79" s="306"/>
      <c r="CR79" s="317">
        <f>'Forest FES-Wave Mobile'!D10</f>
        <v>100</v>
      </c>
      <c r="CS79" s="306"/>
      <c r="CT79" s="306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485"/>
      <c r="EU79" s="485"/>
      <c r="EV79" s="485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73" t="str">
        <f t="shared" ca="1" si="0"/>
        <v>CRS Rectangular 45</v>
      </c>
      <c r="B80" s="373"/>
      <c r="C80" s="373"/>
      <c r="D80" s="373"/>
      <c r="E80" s="373"/>
      <c r="F80" s="373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05">
        <v>4</v>
      </c>
      <c r="N80" s="307"/>
      <c r="O80" s="235"/>
      <c r="P80" s="6"/>
      <c r="R80" s="6">
        <v>1</v>
      </c>
      <c r="S80" s="4">
        <v>1</v>
      </c>
      <c r="T80" s="7">
        <v>1</v>
      </c>
      <c r="U80" s="391">
        <v>1.57</v>
      </c>
      <c r="V80" s="373"/>
      <c r="W80" s="373">
        <v>0.5</v>
      </c>
      <c r="X80" s="373"/>
      <c r="Y80" s="373">
        <v>0</v>
      </c>
      <c r="Z80" s="390"/>
      <c r="AA80"/>
      <c r="AI80" s="467">
        <v>3</v>
      </c>
      <c r="AJ80" s="468"/>
      <c r="AK80" s="467">
        <v>1</v>
      </c>
      <c r="AL80" s="468"/>
      <c r="AM80" s="405" t="s">
        <v>275</v>
      </c>
      <c r="AN80" s="405"/>
      <c r="AO80" s="405"/>
      <c r="AP80" s="405"/>
      <c r="AQ80" s="405"/>
      <c r="AR80" s="405"/>
      <c r="AS80" s="406"/>
      <c r="AT80"/>
      <c r="AU80"/>
      <c r="AV80" s="4" t="s">
        <v>40</v>
      </c>
      <c r="AW80" s="305">
        <v>1.38</v>
      </c>
      <c r="AX80" s="307"/>
      <c r="AY80" s="508">
        <f ca="1">IF(CL80=AW101,AW80,0)</f>
        <v>0</v>
      </c>
      <c r="AZ80" s="509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404" t="s">
        <v>224</v>
      </c>
      <c r="BH80" s="405"/>
      <c r="BI80" s="405"/>
      <c r="BJ80" s="405"/>
      <c r="BK80" s="405"/>
      <c r="BL80" s="405"/>
      <c r="BM80" s="406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6" t="s">
        <v>209</v>
      </c>
      <c r="CI80" s="306"/>
      <c r="CJ80" s="306"/>
      <c r="CK80" s="382"/>
      <c r="CL80" s="12" t="str">
        <f ca="1"/>
        <v>Easywave</v>
      </c>
      <c r="CO80" s="449" t="str">
        <f>E15</f>
        <v>Easywave</v>
      </c>
      <c r="CP80" s="306"/>
      <c r="CQ80" s="306"/>
      <c r="CR80" s="317" t="str">
        <f>'Forest FES-Wave Mobile'!D12</f>
        <v>Easywave</v>
      </c>
      <c r="CS80" s="306"/>
      <c r="CT80" s="306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485"/>
      <c r="EU80" s="485"/>
      <c r="EV80" s="485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514">
        <v>4</v>
      </c>
      <c r="AJ81" s="515"/>
      <c r="AK81" s="514">
        <v>5</v>
      </c>
      <c r="AL81" s="515"/>
      <c r="AM81" s="355" t="s">
        <v>30</v>
      </c>
      <c r="AN81" s="355"/>
      <c r="AO81" s="355"/>
      <c r="AP81" s="355"/>
      <c r="AQ81" s="355"/>
      <c r="AR81" s="355"/>
      <c r="AS81" s="360"/>
      <c r="AV81" s="4" t="s">
        <v>41</v>
      </c>
      <c r="AW81" s="329">
        <v>1.25</v>
      </c>
      <c r="AX81" s="386"/>
      <c r="AY81" s="641">
        <f ca="1">IF(CL80=AW102,AW81,0)</f>
        <v>0</v>
      </c>
      <c r="AZ81" s="642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354" t="s">
        <v>277</v>
      </c>
      <c r="BH81" s="355"/>
      <c r="BI81" s="355"/>
      <c r="BJ81" s="355"/>
      <c r="BK81" s="355"/>
      <c r="BL81" s="355"/>
      <c r="BM81" s="360"/>
      <c r="BP81" s="443">
        <f ca="1">IF(CL82=AW106,BP63/2,BP63)</f>
        <v>100</v>
      </c>
      <c r="BQ81" s="444"/>
      <c r="BR81" s="443">
        <f ca="1">IF(CL82=AW106,BR63/2,BR63)</f>
        <v>100</v>
      </c>
      <c r="BS81" s="445"/>
      <c r="BT81" s="481" t="str">
        <f ca="1">IF(CL82=AW106,"/2","…")</f>
        <v>…</v>
      </c>
      <c r="BU81" s="482"/>
      <c r="BV81" s="352" t="str">
        <f ca="1">IF(CL82=AW106,EY107,EY108)</f>
        <v>Enkelpakket</v>
      </c>
      <c r="BW81" s="352"/>
      <c r="BX81" s="352"/>
      <c r="BY81" s="352"/>
      <c r="BZ81" s="352"/>
      <c r="CH81" s="306" t="s">
        <v>370</v>
      </c>
      <c r="CI81" s="306"/>
      <c r="CJ81" s="306"/>
      <c r="CK81" s="382"/>
      <c r="CL81" s="273" t="str">
        <f ca="1"/>
        <v>8 cm (60%)</v>
      </c>
      <c r="CO81" s="451" t="str">
        <f>E17</f>
        <v>8 cm (60%)</v>
      </c>
      <c r="CP81" s="306"/>
      <c r="CQ81" s="306"/>
      <c r="CR81" s="317" t="str">
        <f>'Forest FES-Wave Mobile'!D14</f>
        <v>8 cm (60%)</v>
      </c>
      <c r="CS81" s="306"/>
      <c r="CT81" s="306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485"/>
      <c r="EU81" s="485"/>
      <c r="EV81" s="485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499">
        <f ca="1">BP77/BP81*100</f>
        <v>256</v>
      </c>
      <c r="BQ82" s="464"/>
      <c r="BR82" s="499">
        <f ca="1">BR77/BR81*100</f>
        <v>256</v>
      </c>
      <c r="BS82" s="464"/>
      <c r="BT82" s="488" t="s">
        <v>144</v>
      </c>
      <c r="BU82" s="489"/>
      <c r="BV82" s="489"/>
      <c r="BW82" s="489"/>
      <c r="BX82" s="489"/>
      <c r="BY82" s="489"/>
      <c r="BZ82" s="489"/>
      <c r="CH82" s="306" t="s">
        <v>371</v>
      </c>
      <c r="CI82" s="306"/>
      <c r="CJ82" s="306"/>
      <c r="CK82" s="382"/>
      <c r="CL82" s="12" t="str">
        <f ca="1"/>
        <v>One-way draw</v>
      </c>
      <c r="CO82" s="449" t="str">
        <f>E19</f>
        <v>One-way draw</v>
      </c>
      <c r="CP82" s="306"/>
      <c r="CQ82" s="306"/>
      <c r="CR82" s="317" t="str">
        <f>'Forest FES-Wave Mobile'!D16</f>
        <v>One-way draw</v>
      </c>
      <c r="CS82" s="306"/>
      <c r="CT82" s="306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485"/>
      <c r="EU82" s="485"/>
      <c r="EV82" s="485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411" t="s">
        <v>295</v>
      </c>
      <c r="AK83" s="446"/>
      <c r="AL83" s="311" t="s">
        <v>296</v>
      </c>
      <c r="AM83" s="311"/>
      <c r="AN83" s="446" t="s">
        <v>297</v>
      </c>
      <c r="AO83" s="446"/>
      <c r="AP83" s="221"/>
      <c r="AQ83" s="222"/>
      <c r="AR83" s="222"/>
      <c r="AS83" s="223"/>
      <c r="AT83" s="224"/>
      <c r="AY83" s="395" t="s">
        <v>42</v>
      </c>
      <c r="AZ83" s="396"/>
      <c r="BA83" s="506">
        <f ca="1">OFFSET(BA85,M57,0,1,1)</f>
        <v>1.2</v>
      </c>
      <c r="BB83" s="507"/>
      <c r="BC83" s="506">
        <f ca="1">IF(N57=0,BA83,OFFSET(BC85,N57,0,1,1))</f>
        <v>1.2</v>
      </c>
      <c r="BD83" s="507"/>
      <c r="BE83" s="193">
        <f ca="1">OFFSET(BE85,M57,0,1,1)</f>
        <v>0</v>
      </c>
      <c r="BF83" s="194">
        <f ca="1">OFFSET(BE85,N57,0,1,1)</f>
        <v>0</v>
      </c>
      <c r="BG83" s="395" t="s">
        <v>251</v>
      </c>
      <c r="BH83" s="407"/>
      <c r="BI83" s="407"/>
      <c r="BJ83" s="407"/>
      <c r="BK83" s="407"/>
      <c r="BL83" s="407"/>
      <c r="BM83" s="396"/>
      <c r="BP83" s="459"/>
      <c r="BQ83" s="460"/>
      <c r="BR83" s="459"/>
      <c r="BS83" s="460"/>
      <c r="BT83" s="488"/>
      <c r="BU83" s="489"/>
      <c r="BV83" s="489"/>
      <c r="BW83" s="489"/>
      <c r="BX83" s="489"/>
      <c r="BY83" s="489"/>
      <c r="BZ83" s="489"/>
      <c r="CH83" s="306" t="s">
        <v>212</v>
      </c>
      <c r="CI83" s="306"/>
      <c r="CJ83" s="306"/>
      <c r="CK83" s="382"/>
      <c r="CL83" s="12" t="str">
        <f ca="1"/>
        <v>Steel</v>
      </c>
      <c r="CO83" s="451" t="str">
        <f>E21</f>
        <v>Steel</v>
      </c>
      <c r="CP83" s="306"/>
      <c r="CQ83" s="306"/>
      <c r="CR83" s="317" t="str">
        <f>'Forest FES-Wave Mobile'!D18</f>
        <v>Steel</v>
      </c>
      <c r="CS83" s="306"/>
      <c r="CT83" s="306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485"/>
      <c r="EU83" s="485"/>
      <c r="EV83" s="485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413"/>
      <c r="AK84" s="447"/>
      <c r="AL84" s="312"/>
      <c r="AM84" s="312"/>
      <c r="AN84" s="447"/>
      <c r="AO84" s="447"/>
      <c r="AP84" s="225"/>
      <c r="AQ84" s="178"/>
      <c r="AR84" s="178"/>
      <c r="AS84" s="226"/>
      <c r="AT84" s="227"/>
      <c r="AY84" s="397"/>
      <c r="AZ84" s="398"/>
      <c r="BA84" s="393" t="s">
        <v>283</v>
      </c>
      <c r="BB84" s="394"/>
      <c r="BC84" s="393" t="s">
        <v>284</v>
      </c>
      <c r="BD84" s="394"/>
      <c r="BE84" s="217" t="s">
        <v>298</v>
      </c>
      <c r="BF84" s="218"/>
      <c r="BG84" s="397"/>
      <c r="BH84" s="408"/>
      <c r="BI84" s="408"/>
      <c r="BJ84" s="408"/>
      <c r="BK84" s="408"/>
      <c r="BL84" s="408"/>
      <c r="BM84" s="398"/>
      <c r="CH84" s="306" t="s">
        <v>372</v>
      </c>
      <c r="CI84" s="306"/>
      <c r="CJ84" s="306"/>
      <c r="CK84" s="382"/>
      <c r="CL84" s="4">
        <f ca="1"/>
        <v>0</v>
      </c>
      <c r="CO84" s="449">
        <f>E23</f>
        <v>0</v>
      </c>
      <c r="CP84" s="306"/>
      <c r="CQ84" s="306"/>
      <c r="CR84" s="317">
        <f>'Forest FES-Wave Mobile'!D20</f>
        <v>0</v>
      </c>
      <c r="CS84" s="306"/>
      <c r="CT84" s="306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485"/>
      <c r="EU84" s="485"/>
      <c r="EV84" s="485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413"/>
      <c r="AK85" s="447"/>
      <c r="AL85" s="312"/>
      <c r="AM85" s="312"/>
      <c r="AN85" s="447"/>
      <c r="AO85" s="447"/>
      <c r="AP85" s="225"/>
      <c r="AQ85" s="178"/>
      <c r="AR85" s="178"/>
      <c r="AS85" s="226"/>
      <c r="AT85" s="227"/>
      <c r="AY85" s="393"/>
      <c r="AZ85" s="394"/>
      <c r="BA85" s="393"/>
      <c r="BB85" s="394"/>
      <c r="BC85" s="393"/>
      <c r="BD85" s="394"/>
      <c r="BE85" s="393"/>
      <c r="BF85" s="394"/>
      <c r="BG85" s="409"/>
      <c r="BH85" s="409"/>
      <c r="BI85" s="409"/>
      <c r="BJ85" s="409"/>
      <c r="BK85" s="409"/>
      <c r="BL85" s="409"/>
      <c r="BM85" s="410"/>
      <c r="BP85" s="443">
        <f ca="1">AY69</f>
        <v>7.9</v>
      </c>
      <c r="BQ85" s="444"/>
      <c r="BR85" s="443">
        <f ca="1">AY69</f>
        <v>7.9</v>
      </c>
      <c r="BS85" s="445"/>
      <c r="BT85" s="483" t="s">
        <v>15</v>
      </c>
      <c r="BU85" s="484"/>
      <c r="BV85" s="484"/>
      <c r="BW85" s="484"/>
      <c r="BX85" s="484"/>
      <c r="CH85" s="306" t="s">
        <v>373</v>
      </c>
      <c r="CI85" s="306"/>
      <c r="CJ85" s="306"/>
      <c r="CK85" s="382"/>
      <c r="CL85" s="4">
        <f ca="1"/>
        <v>0</v>
      </c>
      <c r="CO85" s="449">
        <f>E25</f>
        <v>0</v>
      </c>
      <c r="CP85" s="306"/>
      <c r="CQ85" s="306"/>
      <c r="CR85" s="645">
        <v>0</v>
      </c>
      <c r="CS85" s="645"/>
      <c r="CT85" s="645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485"/>
      <c r="EU85" s="485"/>
      <c r="EV85" s="485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413"/>
      <c r="AK86" s="447"/>
      <c r="AL86" s="312"/>
      <c r="AM86" s="312"/>
      <c r="AN86" s="447"/>
      <c r="AO86" s="447"/>
      <c r="AP86" s="225"/>
      <c r="AQ86" s="178"/>
      <c r="AR86" s="178"/>
      <c r="AS86" s="228"/>
      <c r="AT86" s="229"/>
      <c r="AY86" s="305">
        <v>1</v>
      </c>
      <c r="AZ86" s="307"/>
      <c r="BA86" s="305">
        <v>1.2</v>
      </c>
      <c r="BB86" s="307"/>
      <c r="BC86" s="305">
        <v>1.2</v>
      </c>
      <c r="BD86" s="307"/>
      <c r="BE86" s="6">
        <v>0</v>
      </c>
      <c r="BF86" s="7">
        <v>0</v>
      </c>
      <c r="BG86" s="636" t="s">
        <v>252</v>
      </c>
      <c r="BH86" s="636"/>
      <c r="BI86" s="636"/>
      <c r="BJ86" s="636"/>
      <c r="BK86" s="636"/>
      <c r="BL86" s="636"/>
      <c r="BM86" s="637"/>
      <c r="BP86" s="440">
        <f ca="1">U57</f>
        <v>8.5</v>
      </c>
      <c r="BQ86" s="441"/>
      <c r="BR86" s="440">
        <f ca="1">AJ89</f>
        <v>5.7</v>
      </c>
      <c r="BS86" s="442"/>
      <c r="BT86" s="145" t="s">
        <v>225</v>
      </c>
      <c r="BU86" s="145"/>
      <c r="BV86" s="145"/>
      <c r="BW86" s="145"/>
      <c r="BX86" s="145"/>
      <c r="CH86" s="306" t="s">
        <v>374</v>
      </c>
      <c r="CI86" s="306"/>
      <c r="CJ86" s="306"/>
      <c r="CK86" s="382"/>
      <c r="CL86" s="4">
        <f ca="1"/>
        <v>0</v>
      </c>
      <c r="CO86" s="455">
        <f>E27</f>
        <v>16</v>
      </c>
      <c r="CP86" s="306"/>
      <c r="CQ86" s="306"/>
      <c r="CR86" s="645">
        <v>0</v>
      </c>
      <c r="CS86" s="645"/>
      <c r="CT86" s="645"/>
      <c r="ES86" s="101" t="str">
        <f>""</f>
        <v/>
      </c>
      <c r="ET86" s="498"/>
      <c r="EU86" s="498"/>
      <c r="EV86" s="498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413"/>
      <c r="AK87" s="447"/>
      <c r="AL87" s="312"/>
      <c r="AM87" s="312"/>
      <c r="AN87" s="447"/>
      <c r="AO87" s="447"/>
      <c r="AP87" s="230"/>
      <c r="AQ87" s="42"/>
      <c r="AR87" s="42"/>
      <c r="AS87" s="42"/>
      <c r="AT87" s="231"/>
      <c r="AY87" s="305">
        <v>2</v>
      </c>
      <c r="AZ87" s="307"/>
      <c r="BA87" s="305">
        <v>1.4</v>
      </c>
      <c r="BB87" s="307"/>
      <c r="BC87" s="305">
        <v>1.4</v>
      </c>
      <c r="BD87" s="307"/>
      <c r="BE87" s="6">
        <v>0</v>
      </c>
      <c r="BF87" s="7">
        <v>0</v>
      </c>
      <c r="BG87" s="405" t="s">
        <v>253</v>
      </c>
      <c r="BH87" s="405"/>
      <c r="BI87" s="405"/>
      <c r="BJ87" s="405"/>
      <c r="BK87" s="405"/>
      <c r="BL87" s="405"/>
      <c r="BM87" s="406"/>
      <c r="BP87" s="440">
        <f ca="1">(BP72-BE69-BE83)*AY78</f>
        <v>13.65</v>
      </c>
      <c r="BQ87" s="441"/>
      <c r="BR87" s="440">
        <f ca="1">(BR72-BE69-BF83)*AY78</f>
        <v>13.65</v>
      </c>
      <c r="BS87" s="442"/>
      <c r="BT87" s="145" t="s">
        <v>226</v>
      </c>
      <c r="BU87" s="145"/>
      <c r="BV87" s="145"/>
      <c r="BW87" s="145"/>
      <c r="BX87" s="145"/>
      <c r="ES87" s="101" t="str">
        <f>""</f>
        <v/>
      </c>
      <c r="ET87" s="487" t="s">
        <v>117</v>
      </c>
      <c r="EU87" s="487"/>
      <c r="EV87" s="487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415"/>
      <c r="AK88" s="448"/>
      <c r="AL88" s="313"/>
      <c r="AM88" s="313"/>
      <c r="AN88" s="448"/>
      <c r="AO88" s="448"/>
      <c r="AP88" s="230"/>
      <c r="AQ88" s="42"/>
      <c r="AR88" s="42"/>
      <c r="AS88" s="42"/>
      <c r="AT88" s="229"/>
      <c r="AY88" s="305">
        <v>3</v>
      </c>
      <c r="AZ88" s="307"/>
      <c r="BA88" s="305">
        <v>1.1000000000000001</v>
      </c>
      <c r="BB88" s="307"/>
      <c r="BC88" s="305">
        <v>1.1000000000000001</v>
      </c>
      <c r="BD88" s="307"/>
      <c r="BE88" s="6">
        <v>0</v>
      </c>
      <c r="BF88" s="7">
        <v>0</v>
      </c>
      <c r="BG88" s="405" t="s">
        <v>254</v>
      </c>
      <c r="BH88" s="405"/>
      <c r="BI88" s="405"/>
      <c r="BJ88" s="405"/>
      <c r="BK88" s="405"/>
      <c r="BL88" s="405"/>
      <c r="BM88" s="406"/>
      <c r="BP88" s="440">
        <f ca="1">BA83</f>
        <v>1.2</v>
      </c>
      <c r="BQ88" s="441"/>
      <c r="BR88" s="440">
        <f ca="1">BC83</f>
        <v>1.2</v>
      </c>
      <c r="BS88" s="442"/>
      <c r="BT88" s="145" t="s">
        <v>248</v>
      </c>
      <c r="BU88" s="145"/>
      <c r="BY88" s="50"/>
      <c r="BZ88" s="50"/>
      <c r="ES88" s="101" t="str">
        <f>""</f>
        <v/>
      </c>
      <c r="ET88" s="485"/>
      <c r="EU88" s="485"/>
      <c r="EV88" s="485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427">
        <f ca="1">OFFSET(AJ90,O57,0,1,1)</f>
        <v>5.7</v>
      </c>
      <c r="AK89" s="428"/>
      <c r="AL89" s="427">
        <f ca="1">OFFSET(AL90,O57,0,1,1)</f>
        <v>4</v>
      </c>
      <c r="AM89" s="428"/>
      <c r="AN89" s="427">
        <f ca="1">OFFSET(AN90,O57,0,1,1)</f>
        <v>1</v>
      </c>
      <c r="AO89" s="621"/>
      <c r="AP89" s="330" t="s">
        <v>293</v>
      </c>
      <c r="AQ89" s="331"/>
      <c r="AR89" s="331"/>
      <c r="AS89" s="331"/>
      <c r="AT89" s="332"/>
      <c r="AY89" s="305">
        <v>4</v>
      </c>
      <c r="AZ89" s="307"/>
      <c r="BA89" s="305">
        <v>1.8</v>
      </c>
      <c r="BB89" s="307"/>
      <c r="BC89" s="305">
        <v>1.8</v>
      </c>
      <c r="BD89" s="307"/>
      <c r="BE89" s="6">
        <v>1</v>
      </c>
      <c r="BF89" s="7">
        <v>1</v>
      </c>
      <c r="BG89" s="405" t="s">
        <v>256</v>
      </c>
      <c r="BH89" s="405"/>
      <c r="BI89" s="405"/>
      <c r="BJ89" s="405"/>
      <c r="BK89" s="405"/>
      <c r="BL89" s="405"/>
      <c r="BM89" s="406"/>
      <c r="BP89" s="440">
        <f ca="1">IF(J57=1,BY89,0)</f>
        <v>2.5</v>
      </c>
      <c r="BQ89" s="441"/>
      <c r="BR89" s="496">
        <f ca="1">IF(J57=1,BY89,0)</f>
        <v>2.5</v>
      </c>
      <c r="BS89" s="497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1</v>
      </c>
      <c r="CJ89" s="646" t="str" cm="1">
        <f t="array" aca="1" ref="CJ89" ca="1">MID(CELL("bestandsnaam"),FIND("]",CELL("bestandsnaam"))+1,30)</f>
        <v>Forest FES-Wave</v>
      </c>
      <c r="CK89" s="647"/>
      <c r="CL89" s="647"/>
      <c r="CM89" s="647"/>
      <c r="CN89" s="648"/>
      <c r="ES89" s="101" t="str">
        <f>""</f>
        <v/>
      </c>
      <c r="ET89" s="485"/>
      <c r="EU89" s="485"/>
      <c r="EV89" s="485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88">
        <f ca="1">U57</f>
        <v>8.5</v>
      </c>
      <c r="AK90" s="389"/>
      <c r="AL90" s="388">
        <f ca="1">W57</f>
        <v>6.5</v>
      </c>
      <c r="AM90" s="389"/>
      <c r="AN90" s="388">
        <f ca="1">Y57</f>
        <v>1</v>
      </c>
      <c r="AO90" s="622"/>
      <c r="AP90" s="626" t="s">
        <v>302</v>
      </c>
      <c r="AQ90" s="627"/>
      <c r="AR90" s="627"/>
      <c r="AS90" s="627"/>
      <c r="AT90" s="628"/>
      <c r="AY90" s="329">
        <v>5</v>
      </c>
      <c r="AZ90" s="327"/>
      <c r="BA90" s="402">
        <v>0</v>
      </c>
      <c r="BB90" s="402"/>
      <c r="BC90" s="402">
        <v>0</v>
      </c>
      <c r="BD90" s="402"/>
      <c r="BE90" s="14">
        <v>0</v>
      </c>
      <c r="BF90" s="9">
        <v>0</v>
      </c>
      <c r="BG90" s="634" t="s">
        <v>255</v>
      </c>
      <c r="BH90" s="634"/>
      <c r="BI90" s="634"/>
      <c r="BJ90" s="634"/>
      <c r="BK90" s="634"/>
      <c r="BL90" s="634"/>
      <c r="BM90" s="635"/>
      <c r="BP90" s="443">
        <f ca="1">BP85+BP86+BP87+BP88+BP89</f>
        <v>33.75</v>
      </c>
      <c r="BQ90" s="445"/>
      <c r="BR90" s="443">
        <f ca="1">BR85+BR86+BR87+BR88+BR89</f>
        <v>30.95</v>
      </c>
      <c r="BS90" s="445"/>
      <c r="BT90" s="488" t="s">
        <v>250</v>
      </c>
      <c r="BU90" s="489"/>
      <c r="BV90" s="489"/>
      <c r="BW90" s="489"/>
      <c r="BX90" s="489"/>
      <c r="CI90" s="4">
        <f ca="1">IF(CJ89=CJ90,1,0)</f>
        <v>1</v>
      </c>
      <c r="CJ90" s="306" t="s">
        <v>375</v>
      </c>
      <c r="CK90" s="306"/>
      <c r="CL90" s="306"/>
      <c r="CM90" s="306"/>
      <c r="CN90" s="306"/>
      <c r="ES90" s="101" t="str">
        <f>""</f>
        <v/>
      </c>
      <c r="ET90" s="485"/>
      <c r="EU90" s="485"/>
      <c r="EV90" s="485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33">
        <v>5.7</v>
      </c>
      <c r="AK91" s="334"/>
      <c r="AL91" s="333">
        <v>4</v>
      </c>
      <c r="AM91" s="334"/>
      <c r="AN91" s="333">
        <v>1</v>
      </c>
      <c r="AO91" s="335"/>
      <c r="AP91" s="483" t="s">
        <v>303</v>
      </c>
      <c r="AQ91" s="484"/>
      <c r="AR91" s="484"/>
      <c r="AS91" s="484"/>
      <c r="AT91" s="629"/>
      <c r="BP91" s="496"/>
      <c r="BQ91" s="497"/>
      <c r="BR91" s="496"/>
      <c r="BS91" s="497"/>
      <c r="BT91" s="488"/>
      <c r="BU91" s="489"/>
      <c r="BV91" s="489"/>
      <c r="BW91" s="489"/>
      <c r="BX91" s="489"/>
      <c r="CI91" s="4">
        <f ca="1">IF(CJ89=CJ91,2,0)</f>
        <v>0</v>
      </c>
      <c r="CJ91" s="306" t="s">
        <v>376</v>
      </c>
      <c r="CK91" s="306"/>
      <c r="CL91" s="306"/>
      <c r="CM91" s="306"/>
      <c r="CN91" s="306"/>
      <c r="ES91" s="101" t="str">
        <f>""</f>
        <v/>
      </c>
      <c r="ET91" s="485"/>
      <c r="EU91" s="485"/>
      <c r="EV91" s="485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377" t="s">
        <v>281</v>
      </c>
      <c r="O92" s="4">
        <v>3</v>
      </c>
      <c r="P92" s="4" t="s">
        <v>312</v>
      </c>
      <c r="AI92" s="220">
        <v>2</v>
      </c>
      <c r="AJ92" s="425">
        <v>1.03</v>
      </c>
      <c r="AK92" s="426"/>
      <c r="AL92" s="425">
        <v>4</v>
      </c>
      <c r="AM92" s="426"/>
      <c r="AN92" s="425">
        <v>1</v>
      </c>
      <c r="AO92" s="633"/>
      <c r="AP92" s="626" t="s">
        <v>304</v>
      </c>
      <c r="AQ92" s="627"/>
      <c r="AR92" s="627"/>
      <c r="AS92" s="627"/>
      <c r="AT92" s="628"/>
      <c r="BF92" s="184"/>
      <c r="BG92" s="184"/>
      <c r="BH92" s="184"/>
      <c r="BI92" s="403" t="s">
        <v>340</v>
      </c>
      <c r="BJ92" s="403"/>
      <c r="BK92" s="403"/>
      <c r="BL92" s="403"/>
      <c r="BM92" s="403"/>
      <c r="BP92" s="461">
        <f ca="1">ROUND(BP90,0)</f>
        <v>34</v>
      </c>
      <c r="BQ92" s="464"/>
      <c r="BR92" s="499">
        <f ca="1">IF(BV65=0,BP92,ROUND(BR90,0))</f>
        <v>34</v>
      </c>
      <c r="BS92" s="464"/>
      <c r="BT92" s="488" t="s">
        <v>222</v>
      </c>
      <c r="BU92" s="489"/>
      <c r="BV92" s="489"/>
      <c r="BW92" s="489"/>
      <c r="BX92" s="489"/>
      <c r="ES92" s="101" t="str">
        <f>""</f>
        <v/>
      </c>
      <c r="ET92" s="485"/>
      <c r="EU92" s="485"/>
      <c r="EV92" s="485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377"/>
      <c r="O93" s="4">
        <v>4</v>
      </c>
      <c r="P93" s="4" t="s">
        <v>312</v>
      </c>
      <c r="AI93" s="220">
        <v>3</v>
      </c>
      <c r="AJ93" s="333">
        <v>5.48</v>
      </c>
      <c r="AK93" s="334"/>
      <c r="AL93" s="333">
        <v>4</v>
      </c>
      <c r="AM93" s="334"/>
      <c r="AN93" s="333">
        <v>1</v>
      </c>
      <c r="AO93" s="335"/>
      <c r="AP93" s="404" t="s">
        <v>305</v>
      </c>
      <c r="AQ93" s="405"/>
      <c r="AR93" s="405"/>
      <c r="AS93" s="405"/>
      <c r="AT93" s="406"/>
      <c r="AW93" s="392" t="s">
        <v>341</v>
      </c>
      <c r="AX93" s="392"/>
      <c r="AY93" s="392"/>
      <c r="AZ93" s="392"/>
      <c r="BA93" s="392"/>
      <c r="BC93" s="403" t="s">
        <v>342</v>
      </c>
      <c r="BD93" s="403"/>
      <c r="BE93" s="403"/>
      <c r="BF93" s="403"/>
      <c r="BG93" s="403"/>
      <c r="BH93" s="184"/>
      <c r="BI93" s="329" t="s">
        <v>258</v>
      </c>
      <c r="BJ93" s="327"/>
      <c r="BK93" s="327"/>
      <c r="BL93" s="386"/>
      <c r="BM93" s="190">
        <f ca="1">IF(ISERROR(BI94),1,0)</f>
        <v>0</v>
      </c>
      <c r="BP93" s="459"/>
      <c r="BQ93" s="460"/>
      <c r="BR93" s="459"/>
      <c r="BS93" s="460"/>
      <c r="BT93" s="488"/>
      <c r="BU93" s="489"/>
      <c r="BV93" s="489"/>
      <c r="BW93" s="489"/>
      <c r="BX93" s="489"/>
      <c r="CJ93" s="4" t="str" cm="1">
        <f t="array" aca="1" ref="CJ93" ca="1">CELL("bestandsnaam")</f>
        <v>R:\Documentatie\FES rekenschema\[FES calculation sheet V2.6.2m.xlsx]Forest FES-Wave</v>
      </c>
      <c r="ES93" s="101" t="str">
        <f>""</f>
        <v/>
      </c>
      <c r="ET93" s="485"/>
      <c r="EU93" s="485"/>
      <c r="EV93" s="485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377"/>
      <c r="O94" s="4">
        <v>5</v>
      </c>
      <c r="P94" s="4" t="s">
        <v>311</v>
      </c>
      <c r="AI94" s="220">
        <v>4</v>
      </c>
      <c r="AJ94" s="425">
        <v>0.7</v>
      </c>
      <c r="AK94" s="426"/>
      <c r="AL94" s="425">
        <v>1.5</v>
      </c>
      <c r="AM94" s="426"/>
      <c r="AN94" s="425" t="s">
        <v>14</v>
      </c>
      <c r="AO94" s="426"/>
      <c r="AP94" s="630" t="s">
        <v>306</v>
      </c>
      <c r="AQ94" s="631"/>
      <c r="AR94" s="631"/>
      <c r="AS94" s="631"/>
      <c r="AT94" s="632"/>
      <c r="AW94" s="385" t="str">
        <f>IF($AK$105=$AW$107,AE112,AH112)</f>
        <v>5,4 cm (100%)</v>
      </c>
      <c r="AX94" s="322"/>
      <c r="AY94" s="322"/>
      <c r="AZ94" s="322"/>
      <c r="BA94" s="323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485" t="s">
        <v>118</v>
      </c>
      <c r="EU94" s="485"/>
      <c r="EV94" s="485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377"/>
      <c r="O95" s="4">
        <v>6</v>
      </c>
      <c r="P95" s="4" t="s">
        <v>313</v>
      </c>
      <c r="AI95" s="220">
        <v>5</v>
      </c>
      <c r="AJ95" s="305">
        <v>0.65</v>
      </c>
      <c r="AK95" s="307"/>
      <c r="AL95" s="305">
        <v>3.5</v>
      </c>
      <c r="AM95" s="307"/>
      <c r="AN95" s="305">
        <v>0</v>
      </c>
      <c r="AO95" s="306"/>
      <c r="AP95" s="404" t="s">
        <v>317</v>
      </c>
      <c r="AQ95" s="405"/>
      <c r="AR95" s="405"/>
      <c r="AS95" s="405"/>
      <c r="AT95" s="406"/>
      <c r="AW95" s="305" t="str">
        <f>IF($AK$105=$AW$107,AE113,AH113)</f>
        <v>6 cm (80%)</v>
      </c>
      <c r="AX95" s="306"/>
      <c r="AY95" s="306"/>
      <c r="AZ95" s="306"/>
      <c r="BA95" s="307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485"/>
      <c r="EU95" s="485"/>
      <c r="EV95" s="485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377" t="s">
        <v>65</v>
      </c>
      <c r="I96" s="377" t="s">
        <v>66</v>
      </c>
      <c r="J96" s="377" t="s">
        <v>73</v>
      </c>
      <c r="K96" s="377" t="s">
        <v>202</v>
      </c>
      <c r="L96" s="377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33">
        <v>1</v>
      </c>
      <c r="AK96" s="334"/>
      <c r="AL96" s="333">
        <v>4</v>
      </c>
      <c r="AM96" s="334"/>
      <c r="AN96" s="333">
        <v>0</v>
      </c>
      <c r="AO96" s="335"/>
      <c r="AP96" s="618" t="s">
        <v>316</v>
      </c>
      <c r="AQ96" s="619"/>
      <c r="AR96" s="619"/>
      <c r="AS96" s="619"/>
      <c r="AT96" s="620"/>
      <c r="AW96" s="329" t="str">
        <f>IF($AK$105=$AW$107,AE114,AH114)</f>
        <v>8 cm (60%)</v>
      </c>
      <c r="AX96" s="327"/>
      <c r="AY96" s="327"/>
      <c r="AZ96" s="327"/>
      <c r="BA96" s="386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485"/>
      <c r="EU96" s="485"/>
      <c r="EV96" s="485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377"/>
      <c r="I97" s="377"/>
      <c r="J97" s="377"/>
      <c r="K97" s="377"/>
      <c r="L97" s="377"/>
      <c r="O97" s="4">
        <v>8</v>
      </c>
      <c r="P97" s="4" t="s">
        <v>315</v>
      </c>
      <c r="AI97" s="30">
        <v>7</v>
      </c>
      <c r="AJ97" s="399">
        <v>4.1500000000000004</v>
      </c>
      <c r="AK97" s="400"/>
      <c r="AL97" s="399">
        <v>4.1500000000000004</v>
      </c>
      <c r="AM97" s="400"/>
      <c r="AN97" s="399">
        <v>0</v>
      </c>
      <c r="AO97" s="401"/>
      <c r="AP97" s="623" t="s">
        <v>318</v>
      </c>
      <c r="AQ97" s="624"/>
      <c r="AR97" s="624"/>
      <c r="AS97" s="624"/>
      <c r="AT97" s="625"/>
      <c r="ES97" s="101" t="str">
        <f>""</f>
        <v/>
      </c>
      <c r="ET97" s="485"/>
      <c r="EU97" s="485"/>
      <c r="EV97" s="485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377"/>
      <c r="I98" s="377"/>
      <c r="J98" s="377"/>
      <c r="K98" s="377"/>
      <c r="L98" s="377"/>
      <c r="AI98" s="196">
        <v>8</v>
      </c>
      <c r="AJ98" s="329">
        <v>1</v>
      </c>
      <c r="AK98" s="386"/>
      <c r="AL98" s="329">
        <v>3.42</v>
      </c>
      <c r="AM98" s="386"/>
      <c r="AN98" s="329">
        <v>0</v>
      </c>
      <c r="AO98" s="327"/>
      <c r="AP98" s="354" t="s">
        <v>319</v>
      </c>
      <c r="AQ98" s="355"/>
      <c r="AR98" s="355"/>
      <c r="AS98" s="355"/>
      <c r="AT98" s="360"/>
      <c r="BF98" s="184"/>
      <c r="BG98" s="184"/>
      <c r="BH98" s="184"/>
      <c r="BI98" s="403" t="s">
        <v>280</v>
      </c>
      <c r="BJ98" s="403"/>
      <c r="BK98" s="403"/>
      <c r="BL98" s="403"/>
      <c r="BM98" s="403"/>
      <c r="ES98" s="101" t="str">
        <f>""</f>
        <v/>
      </c>
      <c r="ET98" s="485"/>
      <c r="EU98" s="485"/>
      <c r="EV98" s="485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377"/>
      <c r="I99" s="377"/>
      <c r="J99" s="377"/>
      <c r="K99" s="377"/>
      <c r="L99" s="377"/>
      <c r="AW99" s="392" t="s">
        <v>279</v>
      </c>
      <c r="AX99" s="392"/>
      <c r="AY99" s="392"/>
      <c r="AZ99" s="392"/>
      <c r="BA99" s="392"/>
      <c r="BC99" s="392" t="s">
        <v>278</v>
      </c>
      <c r="BD99" s="392"/>
      <c r="BE99" s="392"/>
      <c r="BF99" s="392"/>
      <c r="BG99" s="392"/>
      <c r="BH99" s="184"/>
      <c r="BI99" s="329" t="s">
        <v>258</v>
      </c>
      <c r="BJ99" s="327"/>
      <c r="BK99" s="327"/>
      <c r="BL99" s="386"/>
      <c r="BM99" s="190">
        <f ca="1">IF(ISERROR(BI100),1,0)</f>
        <v>0</v>
      </c>
      <c r="ES99" s="101" t="str">
        <f>""</f>
        <v/>
      </c>
      <c r="ET99" s="485"/>
      <c r="EU99" s="485"/>
      <c r="EV99" s="485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378"/>
      <c r="I100" s="378"/>
      <c r="J100" s="378"/>
      <c r="K100" s="378"/>
      <c r="L100" s="378"/>
      <c r="AL100" s="41"/>
      <c r="AW100" s="385" t="s">
        <v>0</v>
      </c>
      <c r="AX100" s="322"/>
      <c r="AY100" s="322"/>
      <c r="AZ100" s="322"/>
      <c r="BA100" s="323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485"/>
      <c r="EU100" s="485"/>
      <c r="EV100" s="485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379" t="s">
        <v>64</v>
      </c>
      <c r="D101" s="380"/>
      <c r="E101" s="380"/>
      <c r="F101" s="380"/>
      <c r="G101" s="381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05" t="s">
        <v>4</v>
      </c>
      <c r="AX101" s="306"/>
      <c r="AY101" s="306"/>
      <c r="AZ101" s="306"/>
      <c r="BA101" s="307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485"/>
      <c r="EU101" s="485"/>
      <c r="EV101" s="485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336" t="s">
        <v>349</v>
      </c>
      <c r="B102" s="337"/>
      <c r="C102" s="349" t="s">
        <v>357</v>
      </c>
      <c r="D102" s="350"/>
      <c r="E102" s="350"/>
      <c r="F102" s="350"/>
      <c r="G102" s="350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29" t="s">
        <v>78</v>
      </c>
      <c r="AX102" s="327"/>
      <c r="AY102" s="327"/>
      <c r="AZ102" s="327"/>
      <c r="BA102" s="386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485"/>
      <c r="EU102" s="485"/>
      <c r="EV102" s="485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338"/>
      <c r="B103" s="339"/>
      <c r="C103" s="329" t="s">
        <v>159</v>
      </c>
      <c r="D103" s="327"/>
      <c r="E103" s="327"/>
      <c r="F103" s="327"/>
      <c r="G103" s="327"/>
      <c r="H103" s="260">
        <f ca="1">IF(ISERROR(Q103),1,0)</f>
        <v>0</v>
      </c>
      <c r="I103" s="111"/>
      <c r="J103" s="111"/>
      <c r="K103" s="111"/>
      <c r="L103" s="265"/>
      <c r="M103" s="586" t="s">
        <v>360</v>
      </c>
      <c r="N103" s="587"/>
      <c r="O103" s="587"/>
      <c r="P103" s="587"/>
      <c r="Q103" s="354" t="str">
        <f ca="1">VLOOKUP(E11,EW67:EW147,1,FALSE)</f>
        <v>FMS (Shuttle)</v>
      </c>
      <c r="R103" s="355"/>
      <c r="S103" s="355"/>
      <c r="T103" s="355"/>
      <c r="U103" s="355"/>
      <c r="V103" s="9"/>
      <c r="BF103" s="1"/>
      <c r="BG103" s="1"/>
      <c r="ES103" s="101" t="str">
        <f>""</f>
        <v/>
      </c>
      <c r="ET103" s="485"/>
      <c r="EU103" s="485"/>
      <c r="EV103" s="485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336" t="s">
        <v>350</v>
      </c>
      <c r="B104" s="337"/>
      <c r="C104" s="349" t="s">
        <v>357</v>
      </c>
      <c r="D104" s="350"/>
      <c r="E104" s="350"/>
      <c r="F104" s="350"/>
      <c r="G104" s="350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349" t="s">
        <v>195</v>
      </c>
      <c r="AF104" s="350"/>
      <c r="AG104" s="350"/>
      <c r="AH104" s="475">
        <v>2.54</v>
      </c>
      <c r="AI104" s="476"/>
      <c r="AK104" s="473" t="s">
        <v>189</v>
      </c>
      <c r="AL104" s="617"/>
      <c r="AM104" s="617"/>
      <c r="AN104" s="617"/>
      <c r="AO104" s="615" t="str">
        <f>IF(AK105="","!","")</f>
        <v/>
      </c>
      <c r="AQ104" s="317" t="s">
        <v>50</v>
      </c>
      <c r="AR104" s="317"/>
      <c r="AS104" s="317"/>
      <c r="AT104" s="317"/>
      <c r="AV104" s="359" t="s">
        <v>49</v>
      </c>
      <c r="AW104" s="359"/>
      <c r="AX104" s="359"/>
      <c r="AY104" s="359"/>
      <c r="BC104" s="327" t="s">
        <v>205</v>
      </c>
      <c r="BD104" s="327"/>
      <c r="BE104" s="327"/>
      <c r="BF104" s="327"/>
      <c r="BG104" s="327"/>
      <c r="BH104" s="327"/>
      <c r="BI104" s="1"/>
      <c r="BJ104" s="325" t="s">
        <v>257</v>
      </c>
      <c r="BK104" s="325"/>
      <c r="BL104" s="325"/>
      <c r="BM104" s="325"/>
      <c r="BN104" s="325"/>
      <c r="BO104" s="325"/>
      <c r="BR104" s="15"/>
      <c r="BS104" s="493" t="s">
        <v>21</v>
      </c>
      <c r="BT104" s="493"/>
      <c r="BU104" s="493"/>
      <c r="BV104" s="493"/>
      <c r="BW104" s="493"/>
      <c r="BX104" s="5"/>
      <c r="BY104" s="494" t="s">
        <v>22</v>
      </c>
      <c r="BZ104" s="495"/>
      <c r="DJ104" s="10"/>
      <c r="ES104" s="101" t="str">
        <f>""</f>
        <v/>
      </c>
      <c r="ET104" s="485"/>
      <c r="EU104" s="485"/>
      <c r="EV104" s="485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340"/>
      <c r="B105" s="341"/>
      <c r="C105" s="345" t="s">
        <v>358</v>
      </c>
      <c r="D105" s="317"/>
      <c r="E105" s="317"/>
      <c r="F105" s="317"/>
      <c r="G105" s="317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77" t="s">
        <v>190</v>
      </c>
      <c r="AF105" s="320"/>
      <c r="AG105" s="320"/>
      <c r="AH105" s="320">
        <f ca="1">CL79*AH104</f>
        <v>254</v>
      </c>
      <c r="AI105" s="321"/>
      <c r="AJ105" s="105" t="s">
        <v>162</v>
      </c>
      <c r="AK105" s="608" t="s">
        <v>162</v>
      </c>
      <c r="AL105" s="609"/>
      <c r="AM105" s="609"/>
      <c r="AN105" s="610"/>
      <c r="AO105" s="616"/>
      <c r="AQ105" s="318">
        <v>1</v>
      </c>
      <c r="AR105" s="320" t="str">
        <f t="shared" ref="AR105:AR110" ca="1" si="5">EW111</f>
        <v>Motor side</v>
      </c>
      <c r="AS105" s="320"/>
      <c r="AT105" s="321"/>
      <c r="AV105" s="23">
        <v>8</v>
      </c>
      <c r="AW105" s="385" t="str">
        <f ca="1">EW108</f>
        <v>One-way draw</v>
      </c>
      <c r="AX105" s="322"/>
      <c r="AY105" s="323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597" t="s">
        <v>258</v>
      </c>
      <c r="BL105" s="598"/>
      <c r="BM105" s="598"/>
      <c r="BN105" s="598"/>
      <c r="BO105" s="599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485"/>
      <c r="EU105" s="485"/>
      <c r="EV105" s="485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340"/>
      <c r="B106" s="341"/>
      <c r="C106" s="345" t="s">
        <v>20</v>
      </c>
      <c r="D106" s="317"/>
      <c r="E106" s="317"/>
      <c r="F106" s="317"/>
      <c r="G106" s="317"/>
      <c r="H106" s="89">
        <f ca="1">IF(AH108&lt;Q106,1,0)</f>
        <v>0</v>
      </c>
      <c r="I106" s="96"/>
      <c r="J106" s="95"/>
      <c r="K106" s="95"/>
      <c r="L106" s="38"/>
      <c r="M106" s="309" t="s">
        <v>77</v>
      </c>
      <c r="N106" s="308"/>
      <c r="O106" s="308"/>
      <c r="P106" s="308"/>
      <c r="Q106" s="356">
        <v>20</v>
      </c>
      <c r="R106" s="357"/>
      <c r="S106" s="4" t="s">
        <v>162</v>
      </c>
      <c r="V106" s="7"/>
      <c r="AE106" s="345" t="s">
        <v>196</v>
      </c>
      <c r="AF106" s="317"/>
      <c r="AG106" s="317"/>
      <c r="AH106" s="306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07"/>
      <c r="AJ106" s="4" t="s">
        <v>162</v>
      </c>
      <c r="AL106" s="10"/>
      <c r="AQ106" s="319"/>
      <c r="AR106" s="322" t="str">
        <f t="shared" ca="1" si="5"/>
        <v>Return side</v>
      </c>
      <c r="AS106" s="322"/>
      <c r="AT106" s="323"/>
      <c r="AV106" s="23">
        <v>9</v>
      </c>
      <c r="AW106" s="328" t="str">
        <f ca="1">EW107</f>
        <v>Center closing</v>
      </c>
      <c r="AX106" s="325"/>
      <c r="AY106" s="326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485"/>
      <c r="EU106" s="485"/>
      <c r="EV106" s="485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338"/>
      <c r="B107" s="339"/>
      <c r="C107" s="358" t="s">
        <v>160</v>
      </c>
      <c r="D107" s="359"/>
      <c r="E107" s="359"/>
      <c r="F107" s="359"/>
      <c r="G107" s="359"/>
      <c r="H107" s="260">
        <f ca="1">IF(AH108&gt;Q107,1,0)</f>
        <v>0</v>
      </c>
      <c r="I107" s="111"/>
      <c r="J107" s="111"/>
      <c r="K107" s="111"/>
      <c r="L107" s="265"/>
      <c r="M107" s="361" t="s">
        <v>161</v>
      </c>
      <c r="N107" s="362"/>
      <c r="O107" s="362"/>
      <c r="P107" s="362"/>
      <c r="Q107" s="354">
        <v>1400</v>
      </c>
      <c r="R107" s="360"/>
      <c r="S107" s="8" t="s">
        <v>162</v>
      </c>
      <c r="T107" s="8"/>
      <c r="U107" s="8"/>
      <c r="V107" s="9"/>
      <c r="AE107" s="329" t="s">
        <v>197</v>
      </c>
      <c r="AF107" s="327"/>
      <c r="AG107" s="327"/>
      <c r="AH107" s="317">
        <f ca="1">AH105+AH106</f>
        <v>254</v>
      </c>
      <c r="AI107" s="478"/>
      <c r="AJ107" s="10" t="s">
        <v>162</v>
      </c>
      <c r="AM107" s="611" t="s">
        <v>14</v>
      </c>
      <c r="AN107" s="612"/>
      <c r="AQ107" s="319">
        <v>2</v>
      </c>
      <c r="AR107" s="322" t="str">
        <f t="shared" ca="1" si="5"/>
        <v>Left side</v>
      </c>
      <c r="AS107" s="322"/>
      <c r="AT107" s="323"/>
      <c r="AV107" s="23">
        <v>10</v>
      </c>
      <c r="AW107" s="477" t="s">
        <v>162</v>
      </c>
      <c r="AX107" s="320"/>
      <c r="AY107" s="321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485" t="s">
        <v>113</v>
      </c>
      <c r="EU107" s="485"/>
      <c r="EV107" s="485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336" t="s">
        <v>351</v>
      </c>
      <c r="B108" s="337"/>
      <c r="C108" s="349" t="s">
        <v>357</v>
      </c>
      <c r="D108" s="350"/>
      <c r="E108" s="350"/>
      <c r="F108" s="350"/>
      <c r="G108" s="350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604" t="s">
        <v>198</v>
      </c>
      <c r="AF108" s="605"/>
      <c r="AG108" s="605"/>
      <c r="AH108" s="461">
        <f ca="1">IF(AK105=AW107,CL79,AH107)</f>
        <v>100</v>
      </c>
      <c r="AI108" s="464"/>
      <c r="AJ108" s="603" t="s">
        <v>162</v>
      </c>
      <c r="AM108" s="613"/>
      <c r="AN108" s="614"/>
      <c r="AQ108" s="319"/>
      <c r="AR108" s="322" t="str">
        <f t="shared" ca="1" si="5"/>
        <v>Right side</v>
      </c>
      <c r="AS108" s="322"/>
      <c r="AT108" s="323"/>
      <c r="AV108" s="20">
        <v>11</v>
      </c>
      <c r="AW108" s="328" t="s">
        <v>190</v>
      </c>
      <c r="AX108" s="325"/>
      <c r="AY108" s="326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485"/>
      <c r="EU108" s="485"/>
      <c r="EV108" s="485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340"/>
      <c r="B109" s="341"/>
      <c r="C109" s="305" t="s">
        <v>159</v>
      </c>
      <c r="D109" s="306"/>
      <c r="E109" s="306"/>
      <c r="F109" s="306"/>
      <c r="G109" s="382"/>
      <c r="H109" s="12">
        <f>IF(ISERROR(Q109),1,0)</f>
        <v>0</v>
      </c>
      <c r="I109" s="95"/>
      <c r="J109" s="95"/>
      <c r="K109" s="95"/>
      <c r="L109" s="38"/>
      <c r="M109" s="383" t="s">
        <v>360</v>
      </c>
      <c r="N109" s="384"/>
      <c r="O109" s="384"/>
      <c r="P109" s="384"/>
      <c r="Q109" s="404" t="str">
        <f>VLOOKUP(E17,AW94:BA96,1,FALSE)</f>
        <v>8 cm (60%)</v>
      </c>
      <c r="R109" s="405"/>
      <c r="S109" s="405"/>
      <c r="T109" s="405"/>
      <c r="U109" s="405"/>
      <c r="V109" s="163"/>
      <c r="AE109" s="606"/>
      <c r="AF109" s="607"/>
      <c r="AG109" s="607"/>
      <c r="AH109" s="459"/>
      <c r="AI109" s="460"/>
      <c r="AJ109" s="603"/>
      <c r="AQ109" s="319">
        <v>3</v>
      </c>
      <c r="AR109" s="322" t="str">
        <f t="shared" ca="1" si="5"/>
        <v>Control side</v>
      </c>
      <c r="AS109" s="322"/>
      <c r="AT109" s="323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485"/>
      <c r="EU109" s="485"/>
      <c r="EV109" s="485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338"/>
      <c r="B110" s="339"/>
      <c r="C110" s="358" t="s">
        <v>82</v>
      </c>
      <c r="D110" s="359"/>
      <c r="E110" s="359"/>
      <c r="F110" s="359"/>
      <c r="G110" s="359"/>
      <c r="H110" s="260">
        <f ca="1">IF(BM99=0,IF(ISERROR(Q110),1,0),IF(ISERROR(T110),1,0))</f>
        <v>0</v>
      </c>
      <c r="I110" s="111"/>
      <c r="J110" s="192"/>
      <c r="K110" s="192"/>
      <c r="L110" s="268"/>
      <c r="M110" s="329" t="s">
        <v>320</v>
      </c>
      <c r="N110" s="327"/>
      <c r="O110" s="327"/>
      <c r="P110" s="327"/>
      <c r="Q110" s="329" t="str">
        <f ca="1">VLOOKUP(E15,BC100:BC102,1,FALSE)</f>
        <v>Easywave</v>
      </c>
      <c r="R110" s="327"/>
      <c r="S110" s="327"/>
      <c r="T110" s="387" t="str">
        <f>VLOOKUP(E15,AW100:BA102,1,FALSE)</f>
        <v>Easywave</v>
      </c>
      <c r="U110" s="327"/>
      <c r="V110" s="386"/>
      <c r="AL110" s="109" t="s">
        <v>14</v>
      </c>
      <c r="AQ110" s="324"/>
      <c r="AR110" s="325" t="str">
        <f t="shared" ca="1" si="5"/>
        <v>Return side</v>
      </c>
      <c r="AS110" s="325"/>
      <c r="AT110" s="326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485"/>
      <c r="EU110" s="485"/>
      <c r="EV110" s="485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336" t="s">
        <v>240</v>
      </c>
      <c r="B111" s="337"/>
      <c r="C111" s="349" t="s">
        <v>357</v>
      </c>
      <c r="D111" s="350"/>
      <c r="E111" s="350"/>
      <c r="F111" s="350"/>
      <c r="G111" s="350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346" t="s">
        <v>162</v>
      </c>
      <c r="AF111" s="347"/>
      <c r="AG111" s="348"/>
      <c r="AH111" s="346" t="s">
        <v>192</v>
      </c>
      <c r="AI111" s="347"/>
      <c r="AJ111" s="348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485" t="s">
        <v>112</v>
      </c>
      <c r="EU111" s="485"/>
      <c r="EV111" s="485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338"/>
      <c r="B112" s="339"/>
      <c r="C112" s="358" t="s">
        <v>324</v>
      </c>
      <c r="D112" s="359"/>
      <c r="E112" s="359"/>
      <c r="F112" s="359"/>
      <c r="G112" s="359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29" t="s">
        <v>325</v>
      </c>
      <c r="N112" s="327"/>
      <c r="O112" s="327"/>
      <c r="P112" s="327"/>
      <c r="Q112" s="329" t="str">
        <f ca="1">VLOOKUP(E17,BC94:BC96,1,FALSE)</f>
        <v>8 cm (60%)</v>
      </c>
      <c r="R112" s="327"/>
      <c r="S112" s="327"/>
      <c r="T112" s="387" t="str">
        <f>VLOOKUP(E17,AW94:BA96,1,FALSE)</f>
        <v>8 cm (60%)</v>
      </c>
      <c r="U112" s="327"/>
      <c r="V112" s="386"/>
      <c r="AE112" s="477" t="s">
        <v>6</v>
      </c>
      <c r="AF112" s="320"/>
      <c r="AG112" s="321"/>
      <c r="AH112" s="600" t="s">
        <v>179</v>
      </c>
      <c r="AI112" s="601"/>
      <c r="AJ112" s="602"/>
      <c r="AL112" s="92" t="s">
        <v>183</v>
      </c>
      <c r="AQ112" s="317" t="s">
        <v>50</v>
      </c>
      <c r="AR112" s="317"/>
      <c r="AS112" s="317"/>
      <c r="AT112" s="317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485"/>
      <c r="EU112" s="485"/>
      <c r="EV112" s="485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336" t="s">
        <v>352</v>
      </c>
      <c r="B113" s="337"/>
      <c r="C113" s="349" t="s">
        <v>357</v>
      </c>
      <c r="D113" s="350"/>
      <c r="E113" s="350"/>
      <c r="F113" s="350"/>
      <c r="G113" s="350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385" t="s">
        <v>7</v>
      </c>
      <c r="AF113" s="322"/>
      <c r="AG113" s="323"/>
      <c r="AH113" s="351" t="s">
        <v>180</v>
      </c>
      <c r="AI113" s="352"/>
      <c r="AJ113" s="353"/>
      <c r="AL113" s="91" t="s">
        <v>184</v>
      </c>
      <c r="AQ113" s="327" t="s">
        <v>363</v>
      </c>
      <c r="AR113" s="327"/>
      <c r="AS113" s="327"/>
      <c r="AT113" s="327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485"/>
      <c r="EU113" s="485"/>
      <c r="EV113" s="485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338"/>
      <c r="B114" s="339"/>
      <c r="C114" s="329" t="s">
        <v>159</v>
      </c>
      <c r="D114" s="327"/>
      <c r="E114" s="327"/>
      <c r="F114" s="327"/>
      <c r="G114" s="327"/>
      <c r="H114" s="260">
        <f ca="1">IF(ISERROR(Q114),1,0)</f>
        <v>0</v>
      </c>
      <c r="I114" s="111"/>
      <c r="J114" s="111"/>
      <c r="K114" s="111"/>
      <c r="L114" s="265"/>
      <c r="M114" s="586" t="s">
        <v>360</v>
      </c>
      <c r="N114" s="587"/>
      <c r="O114" s="587"/>
      <c r="P114" s="587"/>
      <c r="Q114" s="354" t="str">
        <f ca="1">VLOOKUP(E19,EW67:EW147,1,FALSE)</f>
        <v>One-way draw</v>
      </c>
      <c r="R114" s="355"/>
      <c r="S114" s="355"/>
      <c r="T114" s="355"/>
      <c r="U114" s="355"/>
      <c r="V114" s="26"/>
      <c r="AE114" s="328" t="s">
        <v>8</v>
      </c>
      <c r="AF114" s="325"/>
      <c r="AG114" s="326"/>
      <c r="AH114" s="342" t="s">
        <v>181</v>
      </c>
      <c r="AI114" s="343"/>
      <c r="AJ114" s="344"/>
      <c r="AL114" s="93" t="s">
        <v>185</v>
      </c>
      <c r="AQ114" s="318">
        <v>1</v>
      </c>
      <c r="AR114" s="320" t="str">
        <f ca="1">'Forest FES-Wave Mobile'!AA58</f>
        <v>M</v>
      </c>
      <c r="AS114" s="320"/>
      <c r="AT114" s="321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485"/>
      <c r="EU114" s="485"/>
      <c r="EV114" s="485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336" t="s">
        <v>16</v>
      </c>
      <c r="B115" s="337"/>
      <c r="C115" s="349" t="s">
        <v>357</v>
      </c>
      <c r="D115" s="350"/>
      <c r="E115" s="350"/>
      <c r="F115" s="350"/>
      <c r="G115" s="350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319"/>
      <c r="AR115" s="322" t="str">
        <f ca="1">'Forest FES-Wave Mobile'!AA59</f>
        <v>R</v>
      </c>
      <c r="AS115" s="322"/>
      <c r="AT115" s="323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485"/>
      <c r="EU115" s="485"/>
      <c r="EV115" s="485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338"/>
      <c r="B116" s="339"/>
      <c r="C116" s="329" t="s">
        <v>159</v>
      </c>
      <c r="D116" s="327"/>
      <c r="E116" s="327"/>
      <c r="F116" s="327"/>
      <c r="G116" s="327"/>
      <c r="H116" s="260">
        <f ca="1">IF(P57=1,IF(ISERROR(Q116),1,0),0)</f>
        <v>0</v>
      </c>
      <c r="I116" s="111"/>
      <c r="J116" s="111"/>
      <c r="K116" s="111"/>
      <c r="L116" s="265"/>
      <c r="M116" s="586" t="s">
        <v>360</v>
      </c>
      <c r="N116" s="587"/>
      <c r="O116" s="587"/>
      <c r="P116" s="587"/>
      <c r="Q116" s="354" t="str">
        <f ca="1">VLOOKUP(E21,EW67:EW147,1,FALSE)</f>
        <v>Steel</v>
      </c>
      <c r="R116" s="355"/>
      <c r="S116" s="355"/>
      <c r="T116" s="355"/>
      <c r="U116" s="355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319">
        <v>2</v>
      </c>
      <c r="AR116" s="322" t="str">
        <f ca="1">'Forest FES-Wave Mobile'!AA60</f>
        <v>L</v>
      </c>
      <c r="AS116" s="322"/>
      <c r="AT116" s="323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485"/>
      <c r="EU116" s="485"/>
      <c r="EV116" s="485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336" t="s">
        <v>353</v>
      </c>
      <c r="B117" s="337"/>
      <c r="C117" s="349" t="s">
        <v>357</v>
      </c>
      <c r="D117" s="350"/>
      <c r="E117" s="350"/>
      <c r="F117" s="350"/>
      <c r="G117" s="350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319"/>
      <c r="AR117" s="322" t="str">
        <f ca="1">'Forest FES-Wave Mobile'!AA61</f>
        <v>R</v>
      </c>
      <c r="AS117" s="322"/>
      <c r="AT117" s="323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6" t="s">
        <v>110</v>
      </c>
      <c r="EU117" s="306"/>
      <c r="EV117" s="306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340"/>
      <c r="B118" s="341"/>
      <c r="C118" s="345" t="s">
        <v>358</v>
      </c>
      <c r="D118" s="317"/>
      <c r="E118" s="317"/>
      <c r="F118" s="317"/>
      <c r="G118" s="317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319">
        <v>3</v>
      </c>
      <c r="AR118" s="322" t="str">
        <f ca="1">'Forest FES-Wave Mobile'!AA62</f>
        <v>C</v>
      </c>
      <c r="AS118" s="322"/>
      <c r="AT118" s="323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485" t="s">
        <v>114</v>
      </c>
      <c r="EU118" s="485"/>
      <c r="EV118" s="485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340"/>
      <c r="B119" s="341"/>
      <c r="C119" s="345" t="s">
        <v>69</v>
      </c>
      <c r="D119" s="317"/>
      <c r="E119" s="317"/>
      <c r="F119" s="317"/>
      <c r="G119" s="317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324"/>
      <c r="AR119" s="325" t="str">
        <f ca="1">'Forest FES-Wave Mobile'!AA63</f>
        <v>R</v>
      </c>
      <c r="AS119" s="325"/>
      <c r="AT119" s="326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485"/>
      <c r="EU119" s="485"/>
      <c r="EV119" s="485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340"/>
      <c r="B120" s="341"/>
      <c r="C120" s="345" t="s">
        <v>67</v>
      </c>
      <c r="D120" s="317"/>
      <c r="E120" s="317"/>
      <c r="F120" s="317"/>
      <c r="G120" s="317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485"/>
      <c r="EU120" s="485"/>
      <c r="EV120" s="485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338"/>
      <c r="B121" s="339"/>
      <c r="C121" s="358" t="s">
        <v>68</v>
      </c>
      <c r="D121" s="359"/>
      <c r="E121" s="359"/>
      <c r="F121" s="359"/>
      <c r="G121" s="359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485"/>
      <c r="EU121" s="485"/>
      <c r="EV121" s="485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336" t="s">
        <v>355</v>
      </c>
      <c r="B122" s="337"/>
      <c r="C122" s="345" t="s">
        <v>358</v>
      </c>
      <c r="D122" s="317"/>
      <c r="E122" s="317"/>
      <c r="F122" s="317"/>
      <c r="G122" s="317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314">
        <f ca="1">IF(CL78=A76,ROUNDUP(SUM(BV106:BX121),0)+5,ROUNDUP(SUM(BV106:BX121),0))</f>
        <v>13</v>
      </c>
      <c r="BW122" s="315"/>
      <c r="BX122" s="316"/>
      <c r="BY122" s="314">
        <f ca="1">IF(CL78=G104,ROUNDUP(SUM(BZ106:BZ121),0)+5,ROUNDUP(SUM(BZ106:BZ121),0))</f>
        <v>16</v>
      </c>
      <c r="BZ122" s="316"/>
      <c r="ES122" s="101" t="str">
        <f>""</f>
        <v/>
      </c>
      <c r="ET122" s="485"/>
      <c r="EU122" s="485"/>
      <c r="EV122" s="485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340"/>
      <c r="B123" s="341"/>
      <c r="C123" s="345" t="s">
        <v>345</v>
      </c>
      <c r="D123" s="317"/>
      <c r="E123" s="317"/>
      <c r="F123" s="317"/>
      <c r="G123" s="317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485"/>
      <c r="EU123" s="485"/>
      <c r="EV123" s="485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340"/>
      <c r="B124" s="341"/>
      <c r="C124" s="345" t="s">
        <v>72</v>
      </c>
      <c r="D124" s="317"/>
      <c r="E124" s="317"/>
      <c r="F124" s="317"/>
      <c r="G124" s="317"/>
      <c r="H124" s="88"/>
      <c r="I124" s="97"/>
      <c r="J124" s="4">
        <f>IF(E25&lt;Q124,1,0)</f>
        <v>1</v>
      </c>
      <c r="K124" s="95"/>
      <c r="L124" s="38"/>
      <c r="M124" s="308" t="s">
        <v>361</v>
      </c>
      <c r="N124" s="308"/>
      <c r="O124" s="308"/>
      <c r="P124" s="308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485" t="s">
        <v>156</v>
      </c>
      <c r="EU124" s="485"/>
      <c r="EV124" s="486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340"/>
      <c r="B125" s="341"/>
      <c r="C125" s="345" t="s">
        <v>74</v>
      </c>
      <c r="D125" s="317"/>
      <c r="E125" s="317"/>
      <c r="F125" s="317"/>
      <c r="G125" s="317"/>
      <c r="H125" s="88"/>
      <c r="I125" s="97"/>
      <c r="J125" s="4">
        <f ca="1">IF(E25&gt;(AH108-Q125),1,0)</f>
        <v>0</v>
      </c>
      <c r="K125" s="95"/>
      <c r="L125" s="38"/>
      <c r="M125" s="309" t="s">
        <v>362</v>
      </c>
      <c r="N125" s="308"/>
      <c r="O125" s="308"/>
      <c r="P125" s="310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485"/>
      <c r="EU125" s="485"/>
      <c r="EV125" s="486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340"/>
      <c r="B126" s="341"/>
      <c r="C126" s="345" t="s">
        <v>268</v>
      </c>
      <c r="D126" s="317"/>
      <c r="E126" s="317"/>
      <c r="F126" s="317"/>
      <c r="G126" s="317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485"/>
      <c r="EU126" s="485"/>
      <c r="EV126" s="486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340"/>
      <c r="B127" s="341"/>
      <c r="C127" s="345" t="s">
        <v>81</v>
      </c>
      <c r="D127" s="317"/>
      <c r="E127" s="317"/>
      <c r="F127" s="317"/>
      <c r="G127" s="317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485"/>
      <c r="EU127" s="485"/>
      <c r="EV127" s="486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336" t="s">
        <v>354</v>
      </c>
      <c r="B128" s="337"/>
      <c r="C128" s="349" t="s">
        <v>359</v>
      </c>
      <c r="D128" s="350"/>
      <c r="E128" s="350"/>
      <c r="F128" s="350"/>
      <c r="G128" s="350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485"/>
      <c r="EU128" s="485"/>
      <c r="EV128" s="486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338"/>
      <c r="B129" s="339"/>
      <c r="C129" s="358" t="s">
        <v>329</v>
      </c>
      <c r="D129" s="359"/>
      <c r="E129" s="359"/>
      <c r="F129" s="359"/>
      <c r="G129" s="359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485"/>
      <c r="EU129" s="485"/>
      <c r="EV129" s="486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336" t="s">
        <v>356</v>
      </c>
      <c r="B130" s="337"/>
      <c r="C130" s="345" t="s">
        <v>189</v>
      </c>
      <c r="D130" s="317"/>
      <c r="E130" s="317"/>
      <c r="F130" s="317"/>
      <c r="G130" s="317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485"/>
      <c r="EU130" s="485"/>
      <c r="EV130" s="486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340"/>
      <c r="B131" s="341"/>
      <c r="C131" s="345" t="s">
        <v>201</v>
      </c>
      <c r="D131" s="317"/>
      <c r="E131" s="317"/>
      <c r="F131" s="317"/>
      <c r="G131" s="317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485"/>
      <c r="EU131" s="485"/>
      <c r="EV131" s="486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340"/>
      <c r="B132" s="341"/>
      <c r="C132" s="345" t="s">
        <v>282</v>
      </c>
      <c r="D132" s="317"/>
      <c r="E132" s="317"/>
      <c r="F132" s="317"/>
      <c r="G132" s="375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485"/>
      <c r="EU132" s="485"/>
      <c r="EV132" s="486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340"/>
      <c r="B133" s="341"/>
      <c r="C133" s="370" t="s">
        <v>342</v>
      </c>
      <c r="D133" s="371"/>
      <c r="E133" s="371"/>
      <c r="F133" s="371"/>
      <c r="G133" s="372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485"/>
      <c r="EU133" s="485"/>
      <c r="EV133" s="486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338"/>
      <c r="B134" s="339"/>
      <c r="C134" s="358" t="s">
        <v>278</v>
      </c>
      <c r="D134" s="359"/>
      <c r="E134" s="359"/>
      <c r="F134" s="359"/>
      <c r="G134" s="376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485"/>
      <c r="EU134" s="485"/>
      <c r="EV134" s="486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485"/>
      <c r="EU135" s="485"/>
      <c r="EV135" s="486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485"/>
      <c r="EU136" s="485"/>
      <c r="EV136" s="486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485"/>
      <c r="EU137" s="485"/>
      <c r="EV137" s="486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485"/>
      <c r="EU138" s="485"/>
      <c r="EV138" s="486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485"/>
      <c r="EU139" s="485"/>
      <c r="EV139" s="486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485"/>
      <c r="EU140" s="485"/>
      <c r="EV140" s="486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485"/>
      <c r="EU141" s="485"/>
      <c r="EV141" s="486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485"/>
      <c r="EU142" s="485"/>
      <c r="EV142" s="486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485"/>
      <c r="EU143" s="485"/>
      <c r="EV143" s="486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485"/>
      <c r="EU144" s="485"/>
      <c r="EV144" s="486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485"/>
      <c r="EU145" s="485"/>
      <c r="EV145" s="486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05"/>
      <c r="EU146" s="306"/>
      <c r="EV146" s="307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05" t="s">
        <v>192</v>
      </c>
      <c r="EU147" s="306"/>
      <c r="EV147" s="307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479" t="s">
        <v>76</v>
      </c>
      <c r="EL599" s="479"/>
      <c r="EM599" s="479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80"/>
      <c r="EW601" s="480"/>
      <c r="EX601" s="480"/>
      <c r="EY601" s="480"/>
      <c r="EZ601" s="480"/>
      <c r="FA601" s="480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0o5qdfsIppoieJroS1wn9RVT5SrXC6JanyhfrGBe/sJgXX/sojCNl4i2q8t0ORM7EhkMk93H+OcdnrpAPPTxdA==" saltValue="oriHlUJHlZ4tIv45w+dnow==" spinCount="100000" sheet="1" objects="1" scenarios="1" selectLockedCells="1"/>
  <mergeCells count="651"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Y73:Z73"/>
    <mergeCell ref="Y78:Z78"/>
    <mergeCell ref="U79:V79"/>
    <mergeCell ref="AY80:AZ80"/>
    <mergeCell ref="CH82:CK82"/>
    <mergeCell ref="CO82:CQ82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AI81:AJ81"/>
    <mergeCell ref="Y75:Z75"/>
    <mergeCell ref="AM78:AS78"/>
    <mergeCell ref="CH81:CK81"/>
    <mergeCell ref="CO81:CQ81"/>
    <mergeCell ref="CH80:CK80"/>
    <mergeCell ref="CO78:CQ78"/>
    <mergeCell ref="AK81:AL81"/>
    <mergeCell ref="AJ83:AK88"/>
    <mergeCell ref="BR92:BS93"/>
    <mergeCell ref="BR90:BS91"/>
    <mergeCell ref="AJ91:AK91"/>
    <mergeCell ref="AL91:AM91"/>
    <mergeCell ref="AN91:AO91"/>
    <mergeCell ref="AJ92:AK92"/>
    <mergeCell ref="AL92:AM92"/>
    <mergeCell ref="AL98:AM98"/>
    <mergeCell ref="AN98:AO98"/>
    <mergeCell ref="BG89:BM89"/>
    <mergeCell ref="BC83:BD83"/>
    <mergeCell ref="AY87:AZ87"/>
    <mergeCell ref="BC87:BD87"/>
    <mergeCell ref="BG87:BM87"/>
    <mergeCell ref="AN92:AO92"/>
    <mergeCell ref="AL89:AM89"/>
    <mergeCell ref="AN90:AO90"/>
    <mergeCell ref="AJ96:AK96"/>
    <mergeCell ref="AL96:AM96"/>
    <mergeCell ref="AP97:AT97"/>
    <mergeCell ref="AJ98:AK98"/>
    <mergeCell ref="AP90:AT90"/>
    <mergeCell ref="AP91:AT91"/>
    <mergeCell ref="AP92:AT92"/>
    <mergeCell ref="AP93:AT93"/>
    <mergeCell ref="AP94:AT94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CF69:CJ69"/>
    <mergeCell ref="CF68:CJ68"/>
    <mergeCell ref="CB64:CE64"/>
    <mergeCell ref="CB65:CE65"/>
    <mergeCell ref="CB66:CE66"/>
    <mergeCell ref="CB67:CE67"/>
    <mergeCell ref="CB68:CE68"/>
    <mergeCell ref="Y51:Z56"/>
    <mergeCell ref="Y65:Z65"/>
    <mergeCell ref="Y66:Z66"/>
    <mergeCell ref="Y59:Z59"/>
    <mergeCell ref="Y60:Z60"/>
    <mergeCell ref="CB63:CJ63"/>
    <mergeCell ref="CF65:CJ65"/>
    <mergeCell ref="CF66:CJ66"/>
    <mergeCell ref="CF67:CJ67"/>
    <mergeCell ref="AK66:AL66"/>
    <mergeCell ref="AK67:AL67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BP70:BQ70"/>
    <mergeCell ref="BR70:BS70"/>
    <mergeCell ref="BC70:BD70"/>
    <mergeCell ref="M61:N61"/>
    <mergeCell ref="M62:N62"/>
    <mergeCell ref="M63:N63"/>
    <mergeCell ref="M64:N64"/>
    <mergeCell ref="M65:N65"/>
    <mergeCell ref="AK64:AL64"/>
    <mergeCell ref="AI63:AL63"/>
    <mergeCell ref="AP67:AV67"/>
    <mergeCell ref="AP66:AV66"/>
    <mergeCell ref="AP64:AV64"/>
    <mergeCell ref="AP65:AV65"/>
    <mergeCell ref="AO63:AV63"/>
    <mergeCell ref="Y61:Z61"/>
    <mergeCell ref="N54:N56"/>
    <mergeCell ref="C124:G124"/>
    <mergeCell ref="H96:H100"/>
    <mergeCell ref="C102:G102"/>
    <mergeCell ref="AI69:AL69"/>
    <mergeCell ref="AJ70:AL70"/>
    <mergeCell ref="AI77:AJ77"/>
    <mergeCell ref="AY73:AZ73"/>
    <mergeCell ref="AY74:AZ74"/>
    <mergeCell ref="AW78:AX78"/>
    <mergeCell ref="AY85:AZ85"/>
    <mergeCell ref="Y70:Z70"/>
    <mergeCell ref="AW106:AY106"/>
    <mergeCell ref="AQ105:AQ106"/>
    <mergeCell ref="AW99:BA99"/>
    <mergeCell ref="AW101:BA101"/>
    <mergeCell ref="AW102:BA102"/>
    <mergeCell ref="M68:N68"/>
    <mergeCell ref="W61:X61"/>
    <mergeCell ref="BA70:BB70"/>
    <mergeCell ref="AY69:AZ69"/>
    <mergeCell ref="AY70:AZ70"/>
    <mergeCell ref="BA69:BB69"/>
    <mergeCell ref="AK65:AL65"/>
    <mergeCell ref="BE85:BF85"/>
    <mergeCell ref="BI92:BM92"/>
    <mergeCell ref="BI98:BM98"/>
    <mergeCell ref="BI93:BL93"/>
    <mergeCell ref="U60:V60"/>
    <mergeCell ref="W60:X60"/>
    <mergeCell ref="U62:V62"/>
    <mergeCell ref="W62:X62"/>
    <mergeCell ref="AY63:AZ68"/>
    <mergeCell ref="W68:X68"/>
    <mergeCell ref="U69:V69"/>
    <mergeCell ref="W69:X69"/>
    <mergeCell ref="BE72:BF72"/>
    <mergeCell ref="AI72:AL72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W74:X74"/>
    <mergeCell ref="U73:V73"/>
    <mergeCell ref="W73:X73"/>
    <mergeCell ref="U72:V72"/>
    <mergeCell ref="AW94:BA94"/>
    <mergeCell ref="AW95:BA95"/>
    <mergeCell ref="AW96:BA96"/>
    <mergeCell ref="BC89:BD89"/>
    <mergeCell ref="AL97:AM97"/>
    <mergeCell ref="AN97:AO97"/>
    <mergeCell ref="AW93:BA93"/>
    <mergeCell ref="BC90:BD90"/>
    <mergeCell ref="BC93:BG93"/>
    <mergeCell ref="U74:V74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W70:X70"/>
    <mergeCell ref="W66:X66"/>
    <mergeCell ref="Y68:Z68"/>
    <mergeCell ref="T112:V112"/>
    <mergeCell ref="M110:P110"/>
    <mergeCell ref="Q110:S110"/>
    <mergeCell ref="T110:V110"/>
    <mergeCell ref="BC104:BH104"/>
    <mergeCell ref="BJ104:BO104"/>
    <mergeCell ref="C105:G105"/>
    <mergeCell ref="BE70:BF70"/>
    <mergeCell ref="BE71:BF71"/>
    <mergeCell ref="Y74:Z74"/>
    <mergeCell ref="U75:V75"/>
    <mergeCell ref="W75:X75"/>
    <mergeCell ref="M74:N74"/>
    <mergeCell ref="W72:X72"/>
    <mergeCell ref="Y72:Z72"/>
    <mergeCell ref="BC99:BG99"/>
    <mergeCell ref="BA89:BB89"/>
    <mergeCell ref="BA84:BB84"/>
    <mergeCell ref="AY83:AZ84"/>
    <mergeCell ref="BA85:BB85"/>
    <mergeCell ref="AY88:AZ88"/>
    <mergeCell ref="AW105:AY105"/>
    <mergeCell ref="M71:N71"/>
    <mergeCell ref="M77:N77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AP98:AT98"/>
    <mergeCell ref="BK105:BO105"/>
    <mergeCell ref="AW108:AY108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C112:G112"/>
    <mergeCell ref="M112:P112"/>
    <mergeCell ref="Q112:S112"/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tabSelected="1"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50" t="str">
        <f ca="1">IF(A2="",'Forest FES-Wave'!EX117,'Forest FES-Wave'!EW117)</f>
        <v>Language:</v>
      </c>
      <c r="B1" s="650"/>
      <c r="C1" s="651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52" t="s">
        <v>88</v>
      </c>
      <c r="B2" s="652"/>
      <c r="C2" s="651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53" t="str">
        <f ca="1">"FES-wave " &amp; IF(A2="",'Forest FES-Wave Mobile'!AB37,'Forest FES-Wave Mobile'!AA37)</f>
        <v>FES-wave Mobile</v>
      </c>
      <c r="E5" s="653"/>
      <c r="F5" s="653"/>
      <c r="G5" s="653"/>
      <c r="H5" s="653"/>
      <c r="I5" s="653"/>
      <c r="J5" s="653"/>
      <c r="K5" s="653"/>
      <c r="L5" s="653"/>
      <c r="M5" s="653"/>
      <c r="N5" s="653"/>
    </row>
    <row r="6" spans="1:14" ht="15" customHeight="1" x14ac:dyDescent="0.25">
      <c r="A6" s="304"/>
      <c r="B6" s="304"/>
      <c r="C6" s="304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3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54" t="str">
        <f ca="1">AA38</f>
        <v>Track type</v>
      </c>
      <c r="B8" s="654"/>
      <c r="C8" s="655"/>
      <c r="D8" s="658" t="s">
        <v>34</v>
      </c>
      <c r="E8" s="659"/>
      <c r="F8" s="660"/>
      <c r="G8" s="664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56"/>
      <c r="B9" s="656"/>
      <c r="C9" s="657"/>
      <c r="D9" s="661"/>
      <c r="E9" s="662"/>
      <c r="F9" s="663"/>
      <c r="G9" s="664"/>
      <c r="H9" s="665" t="str">
        <f ca="1">IF(M9="","",AA51)</f>
        <v>Number of hooks</v>
      </c>
      <c r="I9" s="650"/>
      <c r="J9" s="650"/>
      <c r="K9" s="650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>
        <f ca="1">IF(H68=0,'Forest FES-Wave'!BP74,"")</f>
        <v>16</v>
      </c>
      <c r="N9" s="294"/>
    </row>
    <row r="10" spans="1:14" ht="15" customHeight="1" x14ac:dyDescent="0.25">
      <c r="A10" s="666" t="str">
        <f t="shared" ref="A10:A17" ca="1" si="0">AA39</f>
        <v>Track size</v>
      </c>
      <c r="B10" s="666"/>
      <c r="C10" s="667"/>
      <c r="D10" s="668">
        <v>100</v>
      </c>
      <c r="E10" s="669"/>
      <c r="F10" s="670"/>
      <c r="G10" s="664" t="str">
        <f ca="1">IF(A2="","",IF(H71+H72+H73+H74&gt;=1,"!",""))</f>
        <v/>
      </c>
      <c r="H10" s="665" t="str">
        <f ca="1">IF(M9="","",AA52)</f>
        <v xml:space="preserve"> in curtain needed</v>
      </c>
      <c r="I10" s="650"/>
      <c r="J10" s="650"/>
      <c r="K10" s="650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74" t="str">
        <f t="shared" ca="1" si="0"/>
        <v>in cm</v>
      </c>
      <c r="B11" s="674"/>
      <c r="C11" s="675"/>
      <c r="D11" s="671"/>
      <c r="E11" s="672"/>
      <c r="F11" s="673"/>
      <c r="G11" s="664"/>
      <c r="H11" s="295"/>
      <c r="I11" s="296"/>
      <c r="J11" s="296"/>
      <c r="K11" s="296"/>
      <c r="L11" s="296"/>
      <c r="M11" s="296"/>
      <c r="N11" s="297"/>
    </row>
    <row r="12" spans="1:14" x14ac:dyDescent="0.25">
      <c r="A12" s="666" t="str">
        <f t="shared" ca="1" si="0"/>
        <v>Type of</v>
      </c>
      <c r="B12" s="666"/>
      <c r="C12" s="667"/>
      <c r="D12" s="668" t="s">
        <v>0</v>
      </c>
      <c r="E12" s="669"/>
      <c r="F12" s="670"/>
      <c r="G12" s="664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74" t="str">
        <f t="shared" ca="1" si="0"/>
        <v>Carrier</v>
      </c>
      <c r="B13" s="674"/>
      <c r="C13" s="675"/>
      <c r="D13" s="671"/>
      <c r="E13" s="672"/>
      <c r="F13" s="673"/>
      <c r="G13" s="664"/>
      <c r="H13" s="665" t="str">
        <f ca="1">IF(M9="","",AA53)</f>
        <v>Number of</v>
      </c>
      <c r="I13" s="650"/>
      <c r="J13" s="650"/>
      <c r="K13" s="650"/>
      <c r="L13" s="293" t="str">
        <f ca="1">IF(L9 ="","",L9)</f>
        <v/>
      </c>
      <c r="M13" s="293">
        <f ca="1">IF(M9="","",'Forest FES-Wave'!BP72)</f>
        <v>14</v>
      </c>
      <c r="N13" s="294"/>
    </row>
    <row r="14" spans="1:14" x14ac:dyDescent="0.25">
      <c r="A14" s="666" t="str">
        <f t="shared" ca="1" si="0"/>
        <v>Carrier</v>
      </c>
      <c r="B14" s="666"/>
      <c r="C14" s="667"/>
      <c r="D14" s="678" t="s">
        <v>8</v>
      </c>
      <c r="E14" s="679"/>
      <c r="F14" s="680"/>
      <c r="G14" s="664" t="str">
        <f ca="1">IF(A2="","",IF(H78+H79&gt;=1,"!",""))</f>
        <v/>
      </c>
      <c r="H14" s="665" t="str">
        <f ca="1">IF(M9="","",AA54)</f>
        <v>carriers needed*</v>
      </c>
      <c r="I14" s="650"/>
      <c r="J14" s="650"/>
      <c r="K14" s="650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4" t="str">
        <f t="shared" ca="1" si="0"/>
        <v>Distance</v>
      </c>
      <c r="B15" s="684"/>
      <c r="C15" s="685"/>
      <c r="D15" s="681"/>
      <c r="E15" s="682"/>
      <c r="F15" s="683"/>
      <c r="G15" s="664"/>
      <c r="H15" s="295"/>
      <c r="I15" s="296"/>
      <c r="J15" s="296"/>
      <c r="K15" s="296"/>
      <c r="L15" s="296"/>
      <c r="M15" s="296"/>
      <c r="N15" s="297"/>
    </row>
    <row r="16" spans="1:14" x14ac:dyDescent="0.25">
      <c r="A16" s="666" t="str">
        <f t="shared" ca="1" si="0"/>
        <v>One-way draw &lt;&gt;</v>
      </c>
      <c r="B16" s="666"/>
      <c r="C16" s="667"/>
      <c r="D16" s="668" t="s">
        <v>11</v>
      </c>
      <c r="E16" s="669"/>
      <c r="F16" s="670"/>
      <c r="G16" s="664" t="str">
        <f ca="1">IF(A2="","",IF(H80+H81&gt;=1,"!",""))</f>
        <v/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74" t="str">
        <f t="shared" ca="1" si="0"/>
        <v>Center closing</v>
      </c>
      <c r="B17" s="674"/>
      <c r="C17" s="675"/>
      <c r="D17" s="671"/>
      <c r="E17" s="672"/>
      <c r="F17" s="673"/>
      <c r="G17" s="664"/>
      <c r="H17" s="676" t="str">
        <f ca="1">IF(M9="","",AA55)</f>
        <v>Curtain stacking</v>
      </c>
      <c r="I17" s="677"/>
      <c r="J17" s="677"/>
      <c r="K17" s="677"/>
      <c r="L17" s="293" t="str">
        <f ca="1">IF(L9 ="","",L9)</f>
        <v/>
      </c>
      <c r="M17" s="293">
        <f ca="1">IF(M9="","",'Forest FES-Wave'!BP92)</f>
        <v>34</v>
      </c>
      <c r="N17" s="294" t="str">
        <f ca="1">IF(M17="","",'Forest FES-Wave'!AW107)</f>
        <v>cm</v>
      </c>
    </row>
    <row r="18" spans="1:14" x14ac:dyDescent="0.25">
      <c r="A18" s="666" t="str">
        <f ca="1">IF('Forest FES-Wave'!$P$57=0,"",AA47)</f>
        <v>Master type:</v>
      </c>
      <c r="B18" s="666"/>
      <c r="C18" s="667"/>
      <c r="D18" s="678" t="s">
        <v>51</v>
      </c>
      <c r="E18" s="679"/>
      <c r="F18" s="680"/>
      <c r="G18" s="664" t="str">
        <f ca="1">IF(A2="","",IF(H82+H83&gt;=1,"!",""))</f>
        <v/>
      </c>
      <c r="H18" s="676" t="str">
        <f ca="1">IF(M9="","",AA56)</f>
        <v>in open position</v>
      </c>
      <c r="I18" s="677"/>
      <c r="J18" s="677"/>
      <c r="K18" s="677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74" t="str">
        <f ca="1">IF('Forest FES-Wave'!$P$57=0,"",AA48)</f>
        <v>Steel / Plastic</v>
      </c>
      <c r="B19" s="674"/>
      <c r="C19" s="675"/>
      <c r="D19" s="681"/>
      <c r="E19" s="682"/>
      <c r="F19" s="683"/>
      <c r="G19" s="664"/>
      <c r="H19" s="687" t="str">
        <f ca="1">IF(M9="","",AA57)</f>
        <v>(minimal)</v>
      </c>
      <c r="I19" s="688"/>
      <c r="J19" s="688"/>
      <c r="K19" s="688"/>
      <c r="L19" s="298"/>
      <c r="M19" s="298"/>
      <c r="N19" s="299"/>
    </row>
    <row r="20" spans="1:14" x14ac:dyDescent="0.25">
      <c r="A20" s="666" t="str">
        <f ca="1">IF(D8='Forest FES-Wave'!A76,AA49,"")</f>
        <v/>
      </c>
      <c r="B20" s="666"/>
      <c r="C20" s="667"/>
      <c r="D20" s="668"/>
      <c r="E20" s="669"/>
      <c r="F20" s="670"/>
      <c r="G20" s="692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93" t="str">
        <f ca="1">IF(D8='Forest FES-Wave'!$A$76,AA50,"")</f>
        <v/>
      </c>
      <c r="B21" s="693"/>
      <c r="C21" s="694"/>
      <c r="D21" s="689"/>
      <c r="E21" s="690"/>
      <c r="F21" s="691"/>
      <c r="G21" s="692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95" t="str">
        <f>'Forest FES-Wave'!A10&amp;"m"</f>
        <v>V2.6.1m</v>
      </c>
      <c r="B24" s="695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86" t="str">
        <f ca="1">'Forest FES-Wave Mobile'!AA68</f>
        <v>* Includes carriers that are placed inside master carriers.</v>
      </c>
      <c r="B25" s="686"/>
      <c r="C25" s="686"/>
      <c r="D25" s="686"/>
      <c r="E25" s="686"/>
      <c r="F25" s="686"/>
      <c r="G25" s="686"/>
      <c r="H25" s="686"/>
      <c r="I25" s="686"/>
      <c r="J25" s="686"/>
      <c r="K25" s="686"/>
      <c r="L25" s="300"/>
      <c r="M25" s="300"/>
      <c r="N25" s="300"/>
    </row>
    <row r="26" spans="1:14" x14ac:dyDescent="0.25">
      <c r="A26" s="696" t="str">
        <f ca="1">'Forest FES-Wave Mobile'!AA69</f>
        <v>- Product tolerances are calculated in the final results.</v>
      </c>
      <c r="B26" s="696"/>
      <c r="C26" s="696"/>
      <c r="D26" s="696"/>
      <c r="E26" s="696"/>
      <c r="F26" s="696"/>
      <c r="G26" s="696"/>
      <c r="H26" s="696"/>
      <c r="I26" s="696"/>
      <c r="J26" s="696"/>
      <c r="K26" s="696"/>
      <c r="L26" s="301"/>
      <c r="M26" s="302"/>
      <c r="N26" s="302"/>
    </row>
    <row r="27" spans="1:14" x14ac:dyDescent="0.25">
      <c r="A27" s="696" t="str">
        <f ca="1">'Forest FES-Wave Mobile'!AA70</f>
        <v>- No rights can be derived from this calculation tool.</v>
      </c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302"/>
      <c r="N27" s="302"/>
    </row>
    <row r="28" spans="1:14" x14ac:dyDescent="0.25">
      <c r="A28" s="649" t="str">
        <f ca="1">IF('Forest FES-Wave'!L101=0,"",'Forest FES-Wave'!EW123)</f>
        <v/>
      </c>
      <c r="B28" s="649"/>
      <c r="C28" s="649"/>
      <c r="D28" s="649"/>
      <c r="E28" s="649"/>
      <c r="F28" s="649"/>
      <c r="G28" s="649"/>
      <c r="H28" s="649"/>
      <c r="I28" s="649"/>
      <c r="J28" s="649"/>
      <c r="K28" s="649"/>
      <c r="L28" s="649"/>
    </row>
    <row r="29" spans="1:14" x14ac:dyDescent="0.25">
      <c r="A29" s="649"/>
      <c r="B29" s="649"/>
      <c r="C29" s="649"/>
      <c r="D29" s="649"/>
      <c r="E29" s="649"/>
      <c r="F29" s="649"/>
      <c r="G29" s="649"/>
      <c r="H29" s="649"/>
      <c r="I29" s="649"/>
      <c r="J29" s="649"/>
      <c r="K29" s="649"/>
      <c r="L29" s="649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1</v>
      </c>
      <c r="AB34" s="81">
        <f>IF($A$2=AB35,AB33,0)</f>
        <v>1</v>
      </c>
      <c r="AC34" s="82">
        <f>IF($A$2=AC35,AC33,0)</f>
        <v>0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6" t="s">
        <v>115</v>
      </c>
      <c r="Y35" s="306"/>
      <c r="Z35" s="306"/>
      <c r="AA35" s="75" t="str" cm="1">
        <f t="array" aca="1" ref="AA35:AA70" ca="1">OFFSET(AA35:AA70,0,AA34,36,1)</f>
        <v>English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06" t="s">
        <v>110</v>
      </c>
      <c r="Y36" s="306"/>
      <c r="Z36" s="306"/>
      <c r="AA36" s="79" t="str">
        <f ca="1"/>
        <v>Language: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6" t="s">
        <v>231</v>
      </c>
      <c r="Y37" s="306"/>
      <c r="Z37" s="306"/>
      <c r="AA37" s="79" t="str">
        <f ca="1"/>
        <v>Mobile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485" t="s">
        <v>116</v>
      </c>
      <c r="Y38" s="485"/>
      <c r="Z38" s="485"/>
      <c r="AA38" s="76" t="str">
        <f ca="1"/>
        <v>Track type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485"/>
      <c r="Y39" s="485"/>
      <c r="Z39" s="485"/>
      <c r="AA39" s="78" t="str">
        <f ca="1"/>
        <v>Track size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485"/>
      <c r="Y40" s="485"/>
      <c r="Z40" s="485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485"/>
      <c r="Y41" s="485"/>
      <c r="Z41" s="485"/>
      <c r="AA41" s="76" t="str">
        <f ca="1"/>
        <v>Type of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485"/>
      <c r="Y42" s="485"/>
      <c r="Z42" s="485"/>
      <c r="AA42" s="77" t="str">
        <f ca="1"/>
        <v>Carrier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485"/>
      <c r="Y43" s="485"/>
      <c r="Z43" s="485"/>
      <c r="AA43" s="78" t="str">
        <f ca="1"/>
        <v>Carrier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485"/>
      <c r="Y44" s="485"/>
      <c r="Z44" s="485"/>
      <c r="AA44" s="77" t="str">
        <f ca="1"/>
        <v>Distance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485"/>
      <c r="Y45" s="485"/>
      <c r="Z45" s="485"/>
      <c r="AA45" s="78" t="str">
        <f ca="1"/>
        <v>One-way draw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485"/>
      <c r="Y46" s="485"/>
      <c r="Z46" s="485"/>
      <c r="AA46" s="77" t="str">
        <f ca="1"/>
        <v>Center closing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485"/>
      <c r="Y47" s="485"/>
      <c r="Z47" s="485"/>
      <c r="AA47" s="78" t="str">
        <f ca="1"/>
        <v>Master type: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485"/>
      <c r="Y48" s="485"/>
      <c r="Z48" s="485"/>
      <c r="AA48" s="77" t="str">
        <f ca="1"/>
        <v>Steel / Plastic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485"/>
      <c r="Y49" s="485"/>
      <c r="Z49" s="485"/>
      <c r="AA49" s="78" t="str">
        <f ca="1"/>
        <v>Distance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485"/>
      <c r="Y50" s="485"/>
      <c r="Z50" s="485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485" t="s">
        <v>118</v>
      </c>
      <c r="Y51" s="485"/>
      <c r="Z51" s="485"/>
      <c r="AA51" s="78" t="str">
        <f ca="1"/>
        <v>Number of hooks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485"/>
      <c r="Y52" s="485"/>
      <c r="Z52" s="485"/>
      <c r="AA52" s="77" t="str">
        <f ca="1"/>
        <v xml:space="preserve"> in curtain needed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485"/>
      <c r="Y53" s="485"/>
      <c r="Z53" s="485"/>
      <c r="AA53" s="78" t="str">
        <f ca="1"/>
        <v>Number of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485"/>
      <c r="Y54" s="485"/>
      <c r="Z54" s="485"/>
      <c r="AA54" s="77" t="str">
        <f ca="1"/>
        <v>carriers needed*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485"/>
      <c r="Y55" s="485"/>
      <c r="Z55" s="485"/>
      <c r="AA55" s="78" t="str">
        <f ca="1"/>
        <v>Curtain stacking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485"/>
      <c r="Y56" s="485"/>
      <c r="Z56" s="485"/>
      <c r="AA56" s="76" t="str">
        <f ca="1"/>
        <v>in open position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485"/>
      <c r="Y57" s="485"/>
      <c r="Z57" s="485"/>
      <c r="AA57" s="77" t="str">
        <f ca="1"/>
        <v>(minimal)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485" t="s">
        <v>112</v>
      </c>
      <c r="Y58" s="485"/>
      <c r="Z58" s="486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485"/>
      <c r="Y59" s="485"/>
      <c r="Z59" s="486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485"/>
      <c r="Y60" s="485"/>
      <c r="Z60" s="486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485"/>
      <c r="Y61" s="485"/>
      <c r="Z61" s="486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485"/>
      <c r="Y62" s="485"/>
      <c r="Z62" s="486"/>
      <c r="AA62" s="76" t="str">
        <f ca="1"/>
        <v>C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485"/>
      <c r="Y63" s="485"/>
      <c r="Z63" s="486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485" t="s">
        <v>113</v>
      </c>
      <c r="Y64" s="485"/>
      <c r="Z64" s="485"/>
      <c r="AA64" s="78" t="str">
        <f ca="1"/>
        <v>Center closing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485"/>
      <c r="Y65" s="485"/>
      <c r="Z65" s="485"/>
      <c r="AA65" s="77" t="str">
        <f ca="1"/>
        <v>One-way draw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485"/>
      <c r="Y66" s="485"/>
      <c r="Z66" s="485"/>
      <c r="AA66" s="78" t="str">
        <f ca="1"/>
        <v>Steel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485"/>
      <c r="Y67" s="485"/>
      <c r="Z67" s="485"/>
      <c r="AA67" s="77" t="str">
        <f ca="1"/>
        <v>Plastic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379" t="s">
        <v>64</v>
      </c>
      <c r="D68" s="380"/>
      <c r="E68" s="380"/>
      <c r="F68" s="380"/>
      <c r="G68" s="381"/>
      <c r="H68" s="37">
        <f ca="1">IF(SUM(H69:H124)&gt;0,1,0)</f>
        <v>0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97" t="s">
        <v>114</v>
      </c>
      <c r="Y68" s="485"/>
      <c r="Z68" s="486"/>
      <c r="AA68" s="78" t="str">
        <f ca="1"/>
        <v>* Includes carriers that are placed inside master carriers.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336" t="s">
        <v>349</v>
      </c>
      <c r="B69" s="337"/>
      <c r="C69" s="349" t="s">
        <v>357</v>
      </c>
      <c r="D69" s="350"/>
      <c r="E69" s="350"/>
      <c r="F69" s="350"/>
      <c r="G69" s="350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97"/>
      <c r="Y69" s="485"/>
      <c r="Z69" s="486"/>
      <c r="AA69" s="76" t="str">
        <f ca="1"/>
        <v>- Product tolerances are calculated in the final results.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338"/>
      <c r="B70" s="339"/>
      <c r="C70" s="329" t="s">
        <v>159</v>
      </c>
      <c r="D70" s="327"/>
      <c r="E70" s="327"/>
      <c r="F70" s="327"/>
      <c r="G70" s="327"/>
      <c r="H70" s="260">
        <f ca="1">IF(ISERROR(N70),1,0)</f>
        <v>0</v>
      </c>
      <c r="I70" s="265"/>
      <c r="J70" s="586" t="s">
        <v>360</v>
      </c>
      <c r="K70" s="587"/>
      <c r="L70" s="587"/>
      <c r="M70" s="587"/>
      <c r="N70" s="354" t="str">
        <f ca="1">VLOOKUP(D8,'Forest FES-Wave'!BC105:BC126,1,FALSE)</f>
        <v>FMS (Shuttle)</v>
      </c>
      <c r="O70" s="355"/>
      <c r="P70" s="355"/>
      <c r="Q70" s="355"/>
      <c r="R70" s="355"/>
      <c r="S70" s="9"/>
      <c r="W70" s="102" t="str">
        <f>""</f>
        <v/>
      </c>
      <c r="X70" s="698"/>
      <c r="Y70" s="699"/>
      <c r="Z70" s="700"/>
      <c r="AA70" s="257" t="str">
        <f ca="1"/>
        <v>- No rights can be derived from this calculation tool.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336" t="s">
        <v>350</v>
      </c>
      <c r="B71" s="337"/>
      <c r="C71" s="349" t="s">
        <v>357</v>
      </c>
      <c r="D71" s="350"/>
      <c r="E71" s="350"/>
      <c r="F71" s="350"/>
      <c r="G71" s="350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340"/>
      <c r="B72" s="341"/>
      <c r="C72" s="345" t="s">
        <v>358</v>
      </c>
      <c r="D72" s="317"/>
      <c r="E72" s="317"/>
      <c r="F72" s="317"/>
      <c r="G72" s="317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340"/>
      <c r="B73" s="341"/>
      <c r="C73" s="345" t="s">
        <v>20</v>
      </c>
      <c r="D73" s="317"/>
      <c r="E73" s="317"/>
      <c r="F73" s="317"/>
      <c r="G73" s="317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338"/>
      <c r="B74" s="339"/>
      <c r="C74" s="358" t="s">
        <v>160</v>
      </c>
      <c r="D74" s="359"/>
      <c r="E74" s="359"/>
      <c r="F74" s="359"/>
      <c r="G74" s="359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336" t="s">
        <v>351</v>
      </c>
      <c r="B75" s="337"/>
      <c r="C75" s="349" t="s">
        <v>357</v>
      </c>
      <c r="D75" s="350"/>
      <c r="E75" s="350"/>
      <c r="F75" s="350"/>
      <c r="G75" s="350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340"/>
      <c r="B76" s="341"/>
      <c r="C76" s="305" t="s">
        <v>159</v>
      </c>
      <c r="D76" s="306"/>
      <c r="E76" s="306"/>
      <c r="F76" s="306"/>
      <c r="G76" s="382"/>
      <c r="H76" s="12">
        <f>IF(ISERROR(N76),1,0)</f>
        <v>0</v>
      </c>
      <c r="I76" s="38"/>
      <c r="J76" s="383" t="s">
        <v>360</v>
      </c>
      <c r="K76" s="384"/>
      <c r="L76" s="384"/>
      <c r="M76" s="384"/>
      <c r="N76" s="404" t="str">
        <f>VLOOKUP(D12,'Forest FES-Wave'!AW100:BA102,1,FALSE)</f>
        <v>Easywave</v>
      </c>
      <c r="O76" s="405"/>
      <c r="P76" s="405"/>
      <c r="Q76" s="405"/>
      <c r="R76" s="405"/>
      <c r="S76" s="163"/>
    </row>
    <row r="77" spans="1:32" customFormat="1" ht="15.75" hidden="1" thickBot="1" x14ac:dyDescent="0.3">
      <c r="A77" s="338"/>
      <c r="B77" s="339"/>
      <c r="C77" s="358" t="s">
        <v>82</v>
      </c>
      <c r="D77" s="359"/>
      <c r="E77" s="359"/>
      <c r="F77" s="359"/>
      <c r="G77" s="359"/>
      <c r="H77" s="260">
        <f ca="1">IF('Forest FES-Wave'!BM99=0,IF(ISERROR(N77),1,0),IF(ISERROR(Q77),1,0))</f>
        <v>0</v>
      </c>
      <c r="I77" s="268"/>
      <c r="J77" s="329" t="s">
        <v>320</v>
      </c>
      <c r="K77" s="327"/>
      <c r="L77" s="327"/>
      <c r="M77" s="327"/>
      <c r="N77" s="329" t="str">
        <f ca="1">VLOOKUP(D12,'Forest FES-Wave'!BC100:BC102,1,FALSE)</f>
        <v>Easywave</v>
      </c>
      <c r="O77" s="327"/>
      <c r="P77" s="327"/>
      <c r="Q77" s="387" t="str">
        <f ca="1">VLOOKUP(D12,'Forest FES-Wave'!BI100:BI102,1,FALSE)</f>
        <v>Easywave</v>
      </c>
      <c r="R77" s="327"/>
      <c r="S77" s="386"/>
    </row>
    <row r="78" spans="1:32" customFormat="1" hidden="1" x14ac:dyDescent="0.25">
      <c r="A78" s="336" t="s">
        <v>240</v>
      </c>
      <c r="B78" s="337"/>
      <c r="C78" s="349" t="s">
        <v>357</v>
      </c>
      <c r="D78" s="350"/>
      <c r="E78" s="350"/>
      <c r="F78" s="350"/>
      <c r="G78" s="350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338"/>
      <c r="B79" s="339"/>
      <c r="C79" s="358" t="s">
        <v>324</v>
      </c>
      <c r="D79" s="359"/>
      <c r="E79" s="359"/>
      <c r="F79" s="359"/>
      <c r="G79" s="359"/>
      <c r="H79" s="260">
        <f ca="1">IF(D12="",0,IF('Forest FES-Wave'!BM93=0,IF(ISERROR(N79),1,0),IF(ISERROR(Q79),1,0)))</f>
        <v>0</v>
      </c>
      <c r="I79" s="268"/>
      <c r="J79" s="329" t="s">
        <v>325</v>
      </c>
      <c r="K79" s="327"/>
      <c r="L79" s="327"/>
      <c r="M79" s="327"/>
      <c r="N79" s="329" t="str">
        <f ca="1">VLOOKUP(D14,'Forest FES-Wave'!BC94:BC96,1,FALSE)</f>
        <v>8 cm (60%)</v>
      </c>
      <c r="O79" s="327"/>
      <c r="P79" s="327"/>
      <c r="Q79" s="387" t="str">
        <f ca="1">VLOOKUP(D14,'Forest FES-Wave'!BI94:BI96,1,FALSE)</f>
        <v>8 cm (60%)</v>
      </c>
      <c r="R79" s="327"/>
      <c r="S79" s="386"/>
    </row>
    <row r="80" spans="1:32" customFormat="1" hidden="1" x14ac:dyDescent="0.25">
      <c r="A80" s="336" t="s">
        <v>352</v>
      </c>
      <c r="B80" s="337"/>
      <c r="C80" s="349" t="s">
        <v>357</v>
      </c>
      <c r="D80" s="350"/>
      <c r="E80" s="350"/>
      <c r="F80" s="350"/>
      <c r="G80" s="350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338"/>
      <c r="B81" s="339"/>
      <c r="C81" s="329" t="s">
        <v>159</v>
      </c>
      <c r="D81" s="327"/>
      <c r="E81" s="327"/>
      <c r="F81" s="327"/>
      <c r="G81" s="327"/>
      <c r="H81" s="260">
        <f ca="1">IF(ISERROR(N81),1,0)</f>
        <v>0</v>
      </c>
      <c r="I81" s="265"/>
      <c r="J81" s="586" t="s">
        <v>360</v>
      </c>
      <c r="K81" s="587"/>
      <c r="L81" s="587"/>
      <c r="M81" s="587"/>
      <c r="N81" s="354" t="str">
        <f ca="1">VLOOKUP(D16,'Forest FES-Wave'!AW105:AW106,1,FALSE)</f>
        <v>One-way draw</v>
      </c>
      <c r="O81" s="355"/>
      <c r="P81" s="355"/>
      <c r="Q81" s="355"/>
      <c r="R81" s="355"/>
      <c r="S81" s="26"/>
    </row>
    <row r="82" spans="1:19" customFormat="1" hidden="1" x14ac:dyDescent="0.25">
      <c r="A82" s="336" t="s">
        <v>16</v>
      </c>
      <c r="B82" s="337"/>
      <c r="C82" s="349" t="s">
        <v>357</v>
      </c>
      <c r="D82" s="350"/>
      <c r="E82" s="350"/>
      <c r="F82" s="350"/>
      <c r="G82" s="350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338"/>
      <c r="B83" s="339"/>
      <c r="C83" s="329" t="s">
        <v>159</v>
      </c>
      <c r="D83" s="327"/>
      <c r="E83" s="327"/>
      <c r="F83" s="327"/>
      <c r="G83" s="327"/>
      <c r="H83" s="260">
        <f ca="1">IF('Forest FES-Wave'!P57=1,IF(ISERROR(N83),1,0),0)</f>
        <v>0</v>
      </c>
      <c r="I83" s="265"/>
      <c r="J83" s="586" t="s">
        <v>360</v>
      </c>
      <c r="K83" s="587"/>
      <c r="L83" s="587"/>
      <c r="M83" s="587"/>
      <c r="N83" s="354" t="str">
        <f ca="1">VLOOKUP(D18,'Forest FES-Wave'!AW109:AW110,1,FALSE)</f>
        <v>Steel</v>
      </c>
      <c r="O83" s="355"/>
      <c r="P83" s="355"/>
      <c r="Q83" s="355"/>
      <c r="R83" s="355"/>
      <c r="S83" s="26"/>
    </row>
    <row r="84" spans="1:19" customFormat="1" hidden="1" x14ac:dyDescent="0.25">
      <c r="A84" s="336" t="s">
        <v>353</v>
      </c>
      <c r="B84" s="337"/>
      <c r="C84" s="349" t="s">
        <v>357</v>
      </c>
      <c r="D84" s="350"/>
      <c r="E84" s="350"/>
      <c r="F84" s="350"/>
      <c r="G84" s="350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340"/>
      <c r="B85" s="341"/>
      <c r="C85" s="345" t="s">
        <v>358</v>
      </c>
      <c r="D85" s="317"/>
      <c r="E85" s="317"/>
      <c r="F85" s="317"/>
      <c r="G85" s="317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340"/>
      <c r="B86" s="341"/>
      <c r="C86" s="345" t="s">
        <v>69</v>
      </c>
      <c r="D86" s="317"/>
      <c r="E86" s="317"/>
      <c r="F86" s="317"/>
      <c r="G86" s="317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340"/>
      <c r="B87" s="341"/>
      <c r="C87" s="345" t="s">
        <v>67</v>
      </c>
      <c r="D87" s="317"/>
      <c r="E87" s="317"/>
      <c r="F87" s="317"/>
      <c r="G87" s="317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338"/>
      <c r="B88" s="339"/>
      <c r="C88" s="358" t="s">
        <v>68</v>
      </c>
      <c r="D88" s="359"/>
      <c r="E88" s="359"/>
      <c r="F88" s="359"/>
      <c r="G88" s="359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336" t="s">
        <v>356</v>
      </c>
      <c r="B89" s="337"/>
      <c r="C89" s="345" t="s">
        <v>189</v>
      </c>
      <c r="D89" s="317"/>
      <c r="E89" s="317"/>
      <c r="F89" s="317"/>
      <c r="G89" s="317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340"/>
      <c r="B90" s="341"/>
      <c r="C90" s="345" t="s">
        <v>282</v>
      </c>
      <c r="D90" s="317"/>
      <c r="E90" s="317"/>
      <c r="F90" s="317"/>
      <c r="G90" s="375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340"/>
      <c r="B91" s="341"/>
      <c r="C91" s="370" t="s">
        <v>342</v>
      </c>
      <c r="D91" s="371"/>
      <c r="E91" s="371"/>
      <c r="F91" s="371"/>
      <c r="G91" s="372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338"/>
      <c r="B92" s="339"/>
      <c r="C92" s="358" t="s">
        <v>278</v>
      </c>
      <c r="D92" s="359"/>
      <c r="E92" s="359"/>
      <c r="F92" s="359"/>
      <c r="G92" s="376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yuPb8GeTMBuzRD9PT/n3PuWORM2KcscUgtcegkLJ1LYsVoBDY3CX7a3qoCSFlieHAVDiRL6CioLmgXjmeNZqaA==" saltValue="saD1nu/m1F9byRHCMIqxfw==" spinCount="100000" sheet="1" objects="1" scenarios="1" selectLockedCells="1"/>
  <mergeCells count="98">
    <mergeCell ref="C89:G89"/>
    <mergeCell ref="C90:G90"/>
    <mergeCell ref="C91:G91"/>
    <mergeCell ref="C92:G92"/>
    <mergeCell ref="A89:B92"/>
    <mergeCell ref="A84:B88"/>
    <mergeCell ref="C84:G84"/>
    <mergeCell ref="C85:G85"/>
    <mergeCell ref="C86:G86"/>
    <mergeCell ref="C87:G87"/>
    <mergeCell ref="C88:G88"/>
    <mergeCell ref="A80:B81"/>
    <mergeCell ref="C80:G80"/>
    <mergeCell ref="C81:G81"/>
    <mergeCell ref="J81:M81"/>
    <mergeCell ref="N81:R81"/>
    <mergeCell ref="A82:B83"/>
    <mergeCell ref="C82:G82"/>
    <mergeCell ref="C83:G83"/>
    <mergeCell ref="J83:M83"/>
    <mergeCell ref="N83:R83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71:B74"/>
    <mergeCell ref="C71:G71"/>
    <mergeCell ref="C72:G72"/>
    <mergeCell ref="C73:G73"/>
    <mergeCell ref="C74:G7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2026-02-16T13:24:30Z</dcterms:modified>
</cp:coreProperties>
</file>